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2NkQ7ehrtXPQUPn0/pCwlnrqb/oXKpqkfbJDbzue5gdo+/niIra67tOCbtmpLaIg2Na/0v2x/7bITwo1rqJlpg==" workbookSaltValue="ep0h896PPf+Djd8KflPSq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AA9" i="16" s="1"/>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BV9" i="16"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BE12" i="21"/>
  <c r="EQ19" i="8"/>
  <c r="E11" i="12"/>
  <c r="EN19" i="8"/>
  <c r="BA13" i="16"/>
  <c r="N11" i="11"/>
  <c r="ES19" i="8"/>
  <c r="L19" i="8"/>
  <c r="BM19" i="8"/>
  <c r="BK19" i="8"/>
  <c r="EP19" i="8"/>
  <c r="AL13" i="16"/>
  <c r="AJ13" i="16"/>
  <c r="S13" i="16"/>
  <c r="H18" i="16"/>
  <c r="BN18" i="16"/>
  <c r="P13" i="16"/>
  <c r="AM13" i="20"/>
  <c r="AN13" i="20"/>
  <c r="AT17" i="20"/>
  <c r="T13" i="12"/>
  <c r="BU16" i="17"/>
  <c r="X15" i="17"/>
  <c r="BF12" i="11"/>
  <c r="BJ10" i="11"/>
  <c r="S17" i="17"/>
  <c r="BH12" i="16"/>
  <c r="T13" i="20"/>
  <c r="BD9" i="8"/>
  <c r="H9" i="7" s="1"/>
  <c r="L17" i="2"/>
  <c r="V10" i="16"/>
  <c r="T13" i="16"/>
  <c r="AP13" i="16"/>
  <c r="F15" i="16"/>
  <c r="BL15" i="16" s="1"/>
  <c r="T18" i="17"/>
  <c r="BF15" i="13"/>
  <c r="BG15" i="13"/>
  <c r="BA18" i="13"/>
  <c r="G18" i="14"/>
  <c r="AO20" i="20"/>
  <c r="AN20" i="20"/>
  <c r="H20" i="20"/>
  <c r="AM20" i="20"/>
  <c r="E20" i="20"/>
  <c r="I20" i="20"/>
  <c r="K20" i="20"/>
  <c r="P20" i="20"/>
  <c r="N20" i="20"/>
  <c r="AQ20" i="20"/>
  <c r="U12" i="11"/>
  <c r="W20" i="20"/>
  <c r="AK20" i="20"/>
  <c r="L20" i="20"/>
  <c r="AQ20" i="21"/>
  <c r="U16" i="11"/>
  <c r="AI20" i="20"/>
  <c r="AF20" i="20"/>
  <c r="AX20" i="20"/>
  <c r="AZ20" i="20"/>
  <c r="AG20" i="20"/>
  <c r="AC20" i="20"/>
  <c r="Q20" i="20"/>
  <c r="U10" i="11"/>
  <c r="Z20" i="20"/>
  <c r="AA20" i="20"/>
  <c r="M20" i="20"/>
  <c r="F20" i="20"/>
  <c r="O20" i="20"/>
  <c r="AU20" i="20"/>
  <c r="W20" i="21"/>
  <c r="X20" i="20"/>
  <c r="AH20" i="20"/>
  <c r="F17" i="16" l="1"/>
  <c r="BL17" i="16" s="1"/>
  <c r="AM19" i="8"/>
  <c r="AC19" i="8"/>
  <c r="AK19" i="8"/>
  <c r="AA19" i="8"/>
  <c r="AI19" i="8"/>
  <c r="G15" i="3"/>
  <c r="Z13" i="17"/>
  <c r="BG12" i="8"/>
  <c r="BE12" i="8"/>
  <c r="R19" i="8"/>
  <c r="T19" i="8"/>
  <c r="BG10" i="8"/>
  <c r="K10" i="7" s="1"/>
  <c r="V9" i="16"/>
  <c r="X15" i="16"/>
  <c r="X18" i="16" s="1"/>
  <c r="L15" i="2"/>
  <c r="BK10" i="11"/>
  <c r="BM9" i="11"/>
  <c r="BH11" i="11"/>
  <c r="BL10" i="11"/>
  <c r="S15" i="16"/>
  <c r="AA17" i="16"/>
  <c r="F17" i="17"/>
  <c r="AQ17" i="17" s="1"/>
  <c r="E12" i="6"/>
  <c r="BG16" i="11"/>
  <c r="BK16" i="11"/>
  <c r="R11" i="14"/>
  <c r="BL15" i="11"/>
  <c r="P15" i="17"/>
  <c r="T16" i="11"/>
  <c r="AA15" i="16"/>
  <c r="X12" i="21"/>
  <c r="T9" i="11"/>
  <c r="BF11" i="11"/>
  <c r="BH11" i="16"/>
  <c r="BL9" i="11"/>
  <c r="BH17" i="16"/>
  <c r="BM16" i="11"/>
  <c r="P17" i="17"/>
  <c r="BL17" i="11"/>
  <c r="BF10" i="11"/>
  <c r="BK15" i="11"/>
  <c r="AP10" i="21"/>
  <c r="BM15" i="11"/>
  <c r="BU15" i="17"/>
  <c r="BW17" i="20"/>
  <c r="BW15" i="20"/>
  <c r="BV10" i="16"/>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BG10" i="11"/>
  <c r="BK12" i="11"/>
  <c r="BK9" i="11"/>
  <c r="X9" i="17"/>
  <c r="BM12" i="11"/>
  <c r="BH9" i="11"/>
  <c r="V9" i="11"/>
  <c r="BJ11" i="11"/>
  <c r="R10" i="21"/>
  <c r="R13" i="21" s="1"/>
  <c r="BI17" i="11"/>
  <c r="BG9" i="11"/>
  <c r="BL11" i="11"/>
  <c r="BH17" i="11"/>
  <c r="AP17" i="20"/>
  <c r="BW9" i="20"/>
  <c r="BV16" i="16"/>
  <c r="BW16" i="20"/>
  <c r="BV15" i="16"/>
  <c r="BU9" i="17"/>
  <c r="BU17" i="17"/>
  <c r="S10" i="14"/>
  <c r="V10" i="14" s="1"/>
  <c r="S17" i="14"/>
  <c r="V17" i="14" s="1"/>
  <c r="R10" i="14"/>
  <c r="R12" i="14"/>
  <c r="R16" i="14"/>
  <c r="S12" i="14"/>
  <c r="V12" i="14" s="1"/>
  <c r="S16" i="14"/>
  <c r="V16" i="14" s="1"/>
  <c r="R17" i="14"/>
  <c r="T11" i="11"/>
  <c r="S11" i="14"/>
  <c r="V11" i="14" s="1"/>
  <c r="X16" i="17"/>
  <c r="X10" i="17"/>
  <c r="X17" i="17"/>
  <c r="T17" i="20"/>
  <c r="X17" i="20"/>
  <c r="U10" i="21"/>
  <c r="V12" i="21"/>
  <c r="AA12" i="21"/>
  <c r="X16" i="20"/>
  <c r="L11" i="2"/>
  <c r="X9" i="16"/>
  <c r="X19" i="16" s="1"/>
  <c r="V15" i="20"/>
  <c r="V18" i="20" s="1"/>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I15" i="12" s="1"/>
  <c r="BD16" i="8"/>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I10" i="7" s="1"/>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C12" i="11"/>
  <c r="D12" i="2"/>
  <c r="AO12" i="11"/>
  <c r="H15" i="7"/>
  <c r="K12" i="7"/>
  <c r="AM15" i="11"/>
  <c r="AO12" i="17"/>
  <c r="B12" i="6"/>
  <c r="D12" i="6"/>
  <c r="J12" i="12" s="1"/>
  <c r="AL12" i="11"/>
  <c r="I13" i="2"/>
  <c r="D16" i="2"/>
  <c r="L12" i="14"/>
  <c r="AN12" i="11"/>
  <c r="AM12" i="11"/>
  <c r="C12" i="6"/>
  <c r="I12" i="12" s="1"/>
  <c r="B10" i="6"/>
  <c r="D10" i="2"/>
  <c r="E10" i="6"/>
  <c r="K10" i="12" s="1"/>
  <c r="AO15" i="11"/>
  <c r="E15" i="6"/>
  <c r="F15" i="2"/>
  <c r="B17" i="6"/>
  <c r="B15" i="6"/>
  <c r="H15" i="2"/>
  <c r="L15" i="14"/>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I15" i="7" l="1"/>
  <c r="K15" i="12"/>
  <c r="AZ19" i="11"/>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0"/>
  <c r="AW20" i="11"/>
  <c r="AV20" i="21"/>
  <c r="Q12" i="11" l="1"/>
  <c r="AA19" i="11"/>
  <c r="G20"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Q20" i="16"/>
  <c r="Q20" i="21"/>
  <c r="AV20" i="17"/>
  <c r="AI20" i="11"/>
  <c r="L20" i="17"/>
  <c r="X20" i="17"/>
  <c r="BK20" i="16"/>
  <c r="K20" i="11"/>
  <c r="AP20" i="16"/>
  <c r="AH20" i="16"/>
  <c r="AB20" i="17"/>
  <c r="AT20" i="17"/>
  <c r="R20" i="11"/>
  <c r="F20" i="21"/>
  <c r="AF20" i="21"/>
  <c r="AC20" i="11"/>
  <c r="O20" i="11"/>
  <c r="AB20" i="21"/>
  <c r="V20" i="16"/>
  <c r="AS20" i="21"/>
  <c r="R20" i="21"/>
  <c r="T20" i="16"/>
  <c r="AL20" i="17"/>
  <c r="AR20" i="21"/>
  <c r="E20" i="21"/>
  <c r="AM20" i="17"/>
  <c r="Q20" i="17"/>
  <c r="F20" i="12"/>
  <c r="BE20" i="21"/>
  <c r="AG20" i="11"/>
  <c r="AF20" i="17"/>
  <c r="AI20" i="16"/>
  <c r="AG20" i="21"/>
  <c r="I20" i="12"/>
  <c r="R20" i="17"/>
  <c r="AD20" i="17"/>
  <c r="AE20" i="16"/>
  <c r="AF20" i="16"/>
  <c r="AH20" i="21"/>
  <c r="X20" i="21"/>
  <c r="K20" i="12"/>
  <c r="L20" i="16"/>
  <c r="BO20" i="16"/>
  <c r="U20" i="21"/>
  <c r="N20" i="16"/>
  <c r="AL20" i="16"/>
  <c r="U20" i="20"/>
  <c r="L20" i="21"/>
  <c r="AU20" i="21"/>
  <c r="AE20" i="21"/>
  <c r="AK20" i="16"/>
  <c r="S20" i="21"/>
  <c r="AI20" i="17"/>
  <c r="V20" i="20"/>
  <c r="AA20" i="21"/>
  <c r="AM20" i="11"/>
  <c r="BS20" i="16"/>
  <c r="P20" i="11"/>
  <c r="AY20" i="11"/>
  <c r="BN20" i="16"/>
  <c r="AF20" i="11"/>
  <c r="AV20" i="11"/>
  <c r="X20" i="11"/>
  <c r="AE20" i="17"/>
  <c r="AX20" i="16"/>
  <c r="I20" i="21"/>
  <c r="AD20" i="16"/>
  <c r="K20" i="17"/>
  <c r="J20" i="12"/>
  <c r="BJ20" i="16"/>
  <c r="U20" i="11"/>
  <c r="AC20" i="16"/>
  <c r="AZ20" i="16"/>
  <c r="Y20" i="11"/>
  <c r="O12" i="11"/>
  <c r="BF20" i="16"/>
  <c r="F21" i="11" l="1"/>
  <c r="BD19" i="8"/>
  <c r="AQ20" i="17"/>
  <c r="AT20" i="21"/>
  <c r="BL20" i="16"/>
  <c r="AQ20" i="11"/>
  <c r="AP20" i="1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<sst xmlns="http://schemas.openxmlformats.org/spreadsheetml/2006/main" count="2094" uniqueCount="913">
  <si>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</si>
  <si>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</si>
  <si>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</si>
  <si>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</si>
  <si>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</si>
  <si>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</si>
  <si>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</si>
  <si>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</si>
  <si>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</si>
  <si>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</si>
  <si>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</si>
  <si>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</si>
  <si>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</si>
  <si>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</si>
  <si>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</si>
  <si>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</si>
  <si>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</si>
  <si>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</si>
  <si>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</si>
  <si>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</si>
  <si>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</si>
  <si>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</si>
  <si>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</si>
  <si>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</si>
  <si>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</si>
  <si>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</si>
  <si>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</si>
  <si>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</si>
  <si>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</si>
  <si>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</si>
  <si>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</si>
  <si>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</si>
  <si>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</si>
  <si>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</si>
  <si>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</si>
  <si>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</si>
  <si>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</si>
  <si>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</si>
  <si>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</si>
  <si>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</si>
  <si>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</si>
  <si>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</si>
  <si>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</si>
  <si>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</si>
  <si>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</si>
  <si>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</si>
  <si>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</si>
  <si>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</si>
  <si>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</si>
  <si>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</si>
  <si>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</si>
  <si>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</si>
  <si>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</si>
  <si>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</si>
  <si>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</si>
  <si>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</si>
  <si>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</si>
  <si>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</si>
  <si>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</si>
  <si>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</si>
  <si>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</si>
  <si>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</si>
  <si>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</si>
  <si>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</si>
  <si>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</si>
  <si>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</si>
  <si>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</si>
  <si>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</si>
  <si>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</si>
  <si>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</si>
  <si>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</si>
  <si>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</si>
  <si>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</si>
  <si>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</si>
  <si>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</si>
  <si>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</si>
  <si>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</si>
  <si>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</si>
  <si>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</si>
  <si>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</si>
  <si>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</si>
  <si>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</si>
  <si>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</si>
  <si>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</si>
  <si>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</si>
  <si>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</si>
  <si>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</si>
  <si>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</si>
  <si>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</si>
  <si>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</si>
  <si>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</si>
  <si>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</si>
  <si>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</si>
  <si>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</si>
  <si>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</si>
  <si>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</si>
  <si>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</si>
  <si>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</si>
  <si>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</si>
  <si>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</si>
  <si>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</si>
  <si>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</si>
  <si>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</si>
  <si>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</si>
  <si>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</si>
  <si>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</si>
  <si>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</si>
  <si>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</si>
  <si>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</si>
  <si>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</si>
  <si>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</si>
  <si>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</si>
  <si>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</si>
  <si>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</si>
  <si>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</si>
  <si>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</si>
  <si>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</si>
  <si>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</si>
  <si>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</si>
  <si>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</si>
  <si>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</si>
  <si>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</si>
  <si>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</si>
  <si>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</si>
  <si>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</si>
  <si>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</si>
  <si>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</si>
  <si>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</si>
  <si>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</si>
  <si>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</si>
  <si>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</si>
  <si>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</si>
  <si>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</si>
  <si>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</si>
  <si>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</si>
  <si>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</si>
  <si>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</si>
  <si>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</si>
  <si>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</si>
  <si>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</si>
  <si>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</si>
  <si>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</si>
  <si>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</si>
  <si>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</si>
  <si>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</si>
  <si>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</si>
  <si>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</si>
  <si>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</si>
  <si>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</si>
  <si>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</si>
  <si>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</si>
  <si>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</si>
  <si>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</si>
  <si>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</si>
  <si>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</si>
  <si>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</si>
  <si>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</si>
  <si>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</si>
  <si>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</si>
  <si>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</si>
  <si>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</si>
  <si>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</si>
  <si>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</si>
  <si>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</si>
  <si>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</si>
  <si>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</si>
  <si>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</si>
  <si>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</si>
  <si>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</si>
  <si>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</si>
  <si>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</si>
  <si>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</si>
  <si>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</si>
  <si>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</si>
  <si>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</si>
  <si>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</si>
  <si>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</si>
  <si>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</si>
  <si>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</si>
  <si>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</si>
  <si>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</si>
  <si>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</si>
  <si>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</si>
  <si>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</si>
  <si>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</si>
  <si>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</si>
  <si>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</si>
  <si>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</si>
  <si>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</si>
  <si>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</si>
  <si>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</si>
  <si>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</si>
  <si>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</si>
  <si>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</si>
  <si>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</si>
  <si>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</si>
  <si>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</si>
  <si>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</si>
  <si>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</si>
  <si>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</si>
  <si>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</si>
  <si>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</si>
  <si>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</si>
  <si>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</si>
  <si>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</si>
  <si>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</si>
  <si>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</si>
  <si>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</si>
  <si>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</si>
  <si>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</si>
  <si>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</si>
  <si>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</si>
  <si>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</si>
  <si>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</si>
  <si>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</si>
  <si>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</si>
  <si>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</si>
  <si>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</si>
  <si>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</si>
  <si>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</si>
  <si>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</si>
  <si>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</si>
  <si>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</si>
  <si>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</si>
  <si>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</si>
  <si>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</si>
  <si>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</si>
  <si>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</si>
  <si>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</si>
  <si>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</si>
  <si>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</si>
  <si>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</si>
  <si>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</si>
  <si>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</si>
  <si>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</si>
  <si>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</si>
  <si>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</si>
  <si>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</si>
  <si>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</si>
  <si>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</si>
  <si>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</si>
  <si>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</si>
  <si>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</si>
  <si>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</si>
  <si>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</si>
  <si>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</si>
  <si>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</si>
  <si>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</si>
  <si>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</si>
  <si>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</si>
  <si>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</si>
  <si>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</si>
  <si>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</si>
  <si>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</si>
  <si>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</si>
  <si>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</si>
  <si>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</si>
  <si>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</si>
  <si>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</si>
  <si>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</si>
  <si>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</si>
  <si>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</si>
  <si>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</si>
  <si>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</si>
  <si>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</si>
  <si>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</si>
  <si>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</si>
  <si>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</si>
  <si>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</si>
  <si>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</si>
  <si>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</si>
  <si>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</si>
  <si>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</si>
  <si>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</si>
  <si>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</si>
  <si>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</si>
  <si>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</si>
  <si>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</si>
  <si>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</si>
  <si>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</si>
  <si>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</si>
  <si>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</si>
  <si>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</si>
  <si>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</si>
  <si>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</si>
  <si>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</si>
  <si>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</si>
  <si>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</si>
  <si>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</si>
  <si>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</si>
  <si>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</si>
  <si>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</si>
  <si>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</si>
  <si>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</si>
  <si>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</si>
  <si>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</si>
  <si>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</si>
  <si>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</si>
  <si>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</si>
  <si>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</si>
  <si>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</si>
  <si>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</si>
  <si>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</si>
  <si>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</si>
  <si>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</si>
  <si>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</si>
  <si>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</si>
  <si>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</si>
  <si>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</si>
  <si>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</si>
  <si>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</si>
  <si>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</si>
  <si>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</si>
  <si>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</si>
  <si>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</si>
  <si>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</si>
  <si>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</si>
  <si>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</si>
  <si>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</si>
  <si>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</si>
  <si>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</si>
  <si>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</si>
  <si>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</si>
  <si>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</si>
  <si>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</si>
  <si>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</si>
  <si>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</si>
  <si>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</si>
  <si>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</si>
  <si>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</si>
  <si>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</si>
  <si>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</si>
  <si>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</si>
  <si>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</si>
  <si>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</si>
  <si>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</si>
  <si>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</si>
  <si>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</si>
  <si>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</si>
  <si>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</si>
  <si>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</si>
  <si>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</si>
  <si>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</si>
  <si>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</si>
  <si>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</si>
  <si>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</si>
  <si>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</si>
  <si>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</si>
  <si>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</si>
  <si>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</si>
  <si>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</si>
  <si>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</si>
  <si>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</si>
  <si>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</si>
  <si>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</si>
  <si>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</si>
  <si>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</si>
  <si>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</si>
  <si>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</si>
  <si>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</si>
  <si>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</si>
  <si>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</si>
  <si>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</si>
  <si>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</si>
  <si>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</si>
  <si>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</si>
  <si>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</si>
  <si>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</si>
  <si>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</si>
  <si>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</si>
  <si>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</si>
  <si>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</si>
  <si>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</si>
  <si>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</si>
  <si>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</si>
  <si>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</si>
  <si>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</si>
  <si>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</si>
  <si>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</si>
  <si>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</si>
  <si>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</si>
  <si>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</si>
  <si>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</si>
  <si>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</si>
  <si>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</si>
  <si>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</si>
  <si>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</si>
  <si>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</si>
  <si>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</si>
  <si>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</si>
  <si>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</si>
  <si>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</si>
  <si>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</si>
  <si>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</si>
  <si>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</si>
  <si>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</si>
  <si>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</si>
  <si>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</si>
  <si>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</si>
  <si>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</si>
  <si>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</si>
  <si>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</si>
  <si>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</si>
  <si>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</si>
  <si>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</si>
  <si>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</si>
  <si>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</si>
  <si>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</si>
  <si>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</si>
  <si>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</si>
  <si>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</si>
  <si>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</si>
  <si>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</si>
  <si>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</si>
  <si>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</si>
  <si>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</si>
  <si>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</si>
  <si>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</si>
  <si>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</si>
  <si>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</si>
  <si>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</si>
  <si>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</si>
  <si>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</si>
  <si>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</si>
  <si>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</si>
  <si>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</si>
  <si>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</si>
  <si>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</si>
  <si>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</si>
  <si>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</si>
  <si>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</si>
  <si>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</si>
  <si>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</si>
  <si>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</si>
  <si>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</si>
  <si>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</si>
  <si>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</si>
  <si>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</si>
  <si>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</si>
  <si>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</si>
  <si>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</si>
  <si>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</si>
  <si>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</si>
  <si>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</si>
  <si>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</si>
  <si>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</si>
  <si>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</si>
  <si>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</si>
  <si>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</si>
  <si>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</si>
  <si>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</si>
  <si>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</si>
  <si>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</si>
  <si>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</si>
  <si>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</si>
  <si>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</si>
  <si>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</si>
  <si>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</si>
  <si>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</si>
  <si>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</si>
  <si>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</si>
  <si>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</si>
  <si>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</si>
  <si>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</si>
  <si>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</si>
  <si>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</si>
  <si>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</si>
  <si>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</si>
  <si>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</si>
  <si>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</si>
  <si>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</si>
  <si>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</si>
  <si>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</si>
  <si>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</si>
  <si>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</si>
  <si>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</si>
  <si>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</si>
  <si>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</si>
  <si>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</si>
  <si>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</si>
  <si>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</si>
  <si>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</si>
  <si>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</si>
  <si>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</si>
  <si>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</si>
  <si>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</si>
  <si>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</si>
  <si>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</si>
  <si>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</si>
  <si>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</si>
  <si>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</si>
  <si>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</si>
  <si>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</si>
  <si>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</si>
  <si>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</si>
  <si>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</si>
  <si>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</si>
  <si>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</si>
  <si>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</si>
  <si>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</si>
  <si>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</si>
  <si>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</si>
  <si>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</si>
  <si>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</si>
  <si>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</si>
  <si>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</si>
  <si>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</si>
  <si>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</si>
  <si>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</si>
  <si>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</si>
  <si>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</si>
  <si>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</si>
  <si>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</si>
  <si>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</si>
  <si>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</si>
  <si>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</si>
  <si>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</si>
  <si>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</si>
  <si>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</si>
  <si>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</si>
  <si>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</si>
  <si>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</si>
  <si>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</si>
  <si>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</si>
  <si>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</si>
  <si>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</si>
  <si>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</si>
  <si>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</si>
  <si>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</si>
  <si>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</si>
  <si>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</si>
  <si>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</si>
  <si>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</si>
  <si>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</si>
  <si>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</si>
  <si>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</si>
  <si>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</si>
  <si>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</si>
  <si>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</si>
  <si>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</si>
  <si>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</si>
  <si>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</si>
  <si>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</si>
  <si>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</si>
  <si>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</si>
  <si>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</si>
  <si>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</si>
  <si>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</si>
  <si>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</si>
  <si>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</si>
  <si>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</si>
  <si>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</si>
  <si>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</si>
  <si>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</si>
  <si>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</si>
  <si>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</si>
  <si>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</si>
  <si>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</si>
  <si>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</si>
  <si>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</si>
  <si>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</si>
  <si>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</si>
  <si>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</si>
  <si>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</si>
  <si>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</si>
  <si>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</si>
  <si>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</si>
  <si>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</si>
  <si>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</si>
  <si>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</si>
  <si>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</si>
  <si>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</si>
  <si>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</si>
  <si>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</si>
  <si>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</si>
  <si>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</si>
  <si>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</si>
  <si>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</si>
  <si>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</si>
  <si>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</si>
  <si>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</si>
  <si>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</si>
  <si>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</si>
  <si>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</si>
  <si>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</si>
  <si>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</si>
  <si>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</si>
  <si>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</si>
  <si>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</si>
  <si>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</si>
  <si>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</si>
  <si>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</si>
  <si>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</si>
  <si>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</si>
  <si>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</si>
  <si>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</si>
  <si>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</si>
  <si>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</si>
  <si>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</si>
  <si>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</si>
  <si>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</si>
  <si>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</si>
  <si>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</si>
  <si>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</si>
  <si>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</si>
  <si>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</si>
  <si>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</si>
  <si>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</si>
  <si>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</si>
  <si>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</si>
  <si>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</si>
  <si>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</si>
  <si>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</si>
  <si>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</si>
  <si>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</si>
  <si>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</si>
  <si>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</si>
  <si>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</si>
  <si>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</si>
  <si>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</si>
  <si>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</si>
  <si>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</si>
  <si>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</si>
  <si>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</si>
  <si>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</si>
  <si>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</si>
  <si>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</si>
  <si>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</si>
  <si>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</si>
  <si>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</si>
  <si>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</si>
  <si>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</si>
  <si>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</si>
  <si>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</si>
  <si>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</si>
  <si>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</si>
  <si>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</si>
  <si>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</si>
  <si>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</si>
  <si>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</si>
  <si>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</si>
  <si>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</si>
  <si>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</si>
  <si>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</si>
  <si>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</si>
  <si>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</si>
  <si>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</si>
  <si>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</si>
  <si>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</si>
  <si>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</si>
  <si>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</si>
  <si>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</si>
  <si>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</si>
  <si>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</si>
  <si>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</si>
  <si>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</si>
  <si>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</si>
  <si>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</si>
  <si>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</si>
  <si>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</si>
  <si>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</si>
  <si>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</si>
  <si>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</si>
  <si>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</si>
  <si>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</si>
  <si>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</si>
  <si>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</si>
  <si>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</si>
  <si>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</si>
  <si>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</si>
  <si>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</si>
  <si>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</si>
  <si>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</si>
  <si>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</si>
  <si>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</si>
  <si>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</si>
  <si>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</si>
  <si>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</si>
  <si>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</si>
  <si>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</si>
  <si>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</si>
  <si>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</si>
  <si>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</si>
  <si>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</si>
  <si>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</si>
  <si>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</si>
  <si>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</si>
  <si>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</si>
  <si>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</si>
  <si>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</si>
  <si>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</si>
  <si>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</si>
  <si>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</si>
  <si>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</si>
  <si>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</si>
  <si>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</si>
  <si>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</si>
  <si>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</si>
  <si>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</si>
  <si>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</si>
  <si>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</si>
  <si>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</si>
  <si>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</si>
  <si>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</si>
  <si>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</si>
  <si>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</si>
  <si>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</si>
  <si>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</si>
  <si>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</si>
  <si>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</si>
  <si>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</si>
  <si>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</si>
  <si>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</si>
  <si>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</si>
  <si>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</si>
  <si>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</si>
  <si>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</si>
  <si>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</si>
  <si>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</si>
  <si>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</si>
  <si>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</si>
  <si>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</si>
  <si>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</si>
  <si>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</si>
  <si>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</si>
  <si>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</si>
  <si>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</si>
  <si>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</si>
  <si>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</si>
  <si>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</si>
  <si>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</si>
  <si>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</si>
  <si>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</si>
  <si>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</si>
  <si>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</si>
  <si>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</si>
  <si>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</si>
  <si>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</si>
  <si>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</si>
  <si>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</si>
  <si>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</si>
  <si>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</si>
  <si>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</si>
  <si>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</si>
  <si>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</si>
  <si>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</si>
  <si>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</si>
  <si>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</si>
  <si>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</si>
  <si>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</si>
  <si>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</si>
  <si>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</si>
  <si>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</si>
  <si>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</si>
  <si>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</si>
  <si>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</si>
  <si>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</si>
  <si>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</si>
  <si>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</si>
  <si>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</si>
  <si>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</si>
  <si>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</si>
  <si>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</si>
  <si>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</si>
  <si>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</si>
  <si>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</si>
  <si>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</si>
  <si>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</si>
  <si>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</si>
  <si>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</si>
  <si>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</si>
  <si>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</si>
  <si>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</si>
  <si>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</si>
  <si>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</si>
  <si>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</si>
  <si>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</si>
  <si>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</si>
  <si>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</si>
  <si>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</si>
  <si>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</si>
  <si>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</si>
  <si>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</si>
  <si>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</si>
  <si>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</si>
  <si>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</si>
  <si>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</si>
  <si>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</si>
  <si>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</si>
  <si>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</si>
  <si>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</si>
  <si>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</si>
  <si>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</si>
  <si>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</si>
  <si>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</si>
  <si>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</si>
  <si>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</si>
  <si>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</si>
  <si>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</si>
  <si>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</si>
  <si>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</si>
  <si>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</si>
  <si>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</si>
  <si>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</si>
  <si>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</si>
  <si>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</si>
  <si>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</si>
  <si>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</si>
  <si>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</si>
  <si>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</si>
  <si>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</si>
  <si>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</si>
  <si>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</si>
  <si>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</si>
  <si>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</si>
  <si>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</si>
  <si>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</si>
  <si>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</si>
  <si>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</si>
  <si>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</si>
  <si>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</si>
  <si>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</si>
  <si>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</si>
  <si>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</si>
  <si>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</si>
  <si>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</si>
  <si>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</si>
  <si>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</si>
  <si>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</si>
  <si>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</si>
  <si>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</si>
  <si>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</si>
  <si>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</si>
  <si>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</si>
  <si>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</si>
  <si>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</si>
  <si>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</si>
  <si>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</si>
  <si>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</si>
  <si>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</si>
  <si>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</si>
  <si>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</si>
  <si>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</si>
  <si>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</si>
  <si>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</si>
  <si>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</si>
  <si>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</si>
  <si>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</si>
  <si>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</si>
  <si>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</si>
  <si>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</si>
  <si>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</si>
  <si>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</si>
  <si>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</si>
  <si>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</si>
  <si>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</si>
  <si>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</si>
  <si>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</si>
  <si>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</si>
  <si>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</si>
  <si>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</si>
  <si>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</si>
  <si>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</si>
  <si>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</si>
  <si>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</si>
  <si>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</si>
  <si>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</si>
  <si>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</si>
  <si>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</si>
  <si>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</si>
  <si>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</si>
  <si>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</si>
  <si>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</si>
  <si>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</si>
  <si>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</si>
  <si>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</si>
  <si>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</si>
  <si>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</si>
  <si>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</si>
  <si>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</si>
  <si>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</si>
  <si>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</si>
  <si>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</si>
  <si>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</si>
  <si>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</si>
  <si>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</si>
  <si>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</si>
  <si>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</si>
  <si>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</si>
  <si>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</si>
  <si>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</si>
  <si>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</si>
  <si>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</si>
  <si>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</si>
  <si>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</si>
  <si>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</si>
  <si>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</si>
  <si>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</si>
  <si>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</si>
  <si>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</si>
  <si>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</si>
  <si>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</si>
  <si>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</si>
  <si>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</si>
  <si>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</si>
  <si>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</si>
  <si>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</si>
  <si>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</si>
  <si>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CATALUÑA</t>
  </si>
  <si>
    <t>Provincias</t>
  </si>
  <si>
    <t>TARRAGONA</t>
  </si>
  <si>
    <t>Resumenes por Partidos Judiciales</t>
  </si>
  <si>
    <t>VALLS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</si>
</sst>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06bF9K58d2nekBIxDAWnjAAruHk+yu2QdMNtXg//n+p04Aics28YmIDsjw6GX/9OMuRLzUV5H/2fZjQyECgv3A==" saltValue="8ap6gei/QTXZfksHXKozZ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CATALUÑA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34</v>
      </c>
      <c r="D10" s="228">
        <f>IF(ISNUMBER(Datos!I10),Datos!I10," - ")</f>
        <v>34</v>
      </c>
      <c r="E10" s="229">
        <f>IF(ISNUMBER(Datos!J10),Datos!J10," - ")</f>
        <v>5</v>
      </c>
      <c r="F10" s="229">
        <f>IF(ISNUMBER(Datos!K10),Datos!K10," - ")</f>
        <v>4</v>
      </c>
      <c r="G10" s="1037" t="str">
        <f>IF(Datos!E10&lt;&gt;"",Datos!E10,Datos!D10)</f>
        <v>37</v>
      </c>
      <c r="H10" s="230">
        <f>IF(ISNUMBER(Datos!L10),Datos!L10," - ")</f>
        <v>35</v>
      </c>
      <c r="I10" s="1047" t="str">
        <f>IF(ISNUMBER(Datos!AS10/Datos!BM10),Datos!AS10/Datos!BM10," - ")</f>
        <v xml:space="preserve"> - </v>
      </c>
      <c r="J10" s="1048">
        <f>IF(ISNUMBER(Datos!BY10/Datos!CN10),Datos!BY10/Datos!CN10," - ")</f>
        <v>0</v>
      </c>
      <c r="K10" s="233">
        <f t="shared" ref="K10:K12" si="1">IF(ISNUMBER((E10-F10)/C10),(E10-F10)/C10," - ")</f>
        <v>2.9411764705882353E-2</v>
      </c>
      <c r="L10" s="1028">
        <f>IF(ISNUMBER(NºAsuntos!I10/NºAsuntos!G10),(NºAsuntos!I10/NºAsuntos!G10)*11," - ")</f>
        <v>96.25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3</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39.358803986710967</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34</v>
      </c>
      <c r="D13" s="1052">
        <f>SUBTOTAL(9,D9:D12)</f>
        <v>34</v>
      </c>
      <c r="E13" s="1053">
        <f>SUBTOTAL(9,E9:E12)</f>
        <v>5</v>
      </c>
      <c r="F13" s="1054">
        <f>SUBTOTAL(9,F9:F12)</f>
        <v>4</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3</v>
      </c>
      <c r="B16" s="505" t="str">
        <f>Datos!A16</f>
        <v xml:space="preserve">Jdos. 1ª Instª. e Instr.                        </v>
      </c>
      <c r="C16" s="228">
        <f t="shared" si="2"/>
        <v>1367</v>
      </c>
      <c r="D16" s="228">
        <f>IF(ISNUMBER(IF(D_I="SI",Datos!I16,Datos!I16+Datos!AC16)),IF(D_I="SI",Datos!I16,Datos!I16+Datos!AC16)," - ")</f>
        <v>1367</v>
      </c>
      <c r="E16" s="229">
        <f>IF(ISNUMBER(IF(D_I="SI",Datos!J16,Datos!J16+Datos!AD16)),IF(D_I="SI",Datos!J16,Datos!J16+Datos!AD16)," - ")</f>
        <v>999</v>
      </c>
      <c r="F16" s="229">
        <f>IF(ISNUMBER(IF(D_I="SI",Datos!K16,Datos!K16+Datos!AE16)),IF(D_I="SI",Datos!K16,Datos!K16+Datos!AE16)," - ")</f>
        <v>663</v>
      </c>
      <c r="G16" s="1037" t="str">
        <f>IF(Datos!E16&lt;&gt;"",Datos!E16,Datos!D16)</f>
        <v>04</v>
      </c>
      <c r="H16" s="230">
        <f>IF(ISNUMBER(IF(D_I="SI",Datos!L16,Datos!L16+Datos!AF16)),IF(D_I="SI",Datos!L16,Datos!L16+Datos!AF16)," - ")</f>
        <v>1703</v>
      </c>
      <c r="I16" s="1047" t="str">
        <f>IF(ISNUMBER(Datos!AS16/Datos!BM16),Datos!AS16/Datos!BM16," - ")</f>
        <v xml:space="preserve"> - </v>
      </c>
      <c r="J16" s="1048">
        <f>IF(ISNUMBER(Datos!BY16/Datos!CN16),Datos!BY16/Datos!CN16," - ")</f>
        <v>0</v>
      </c>
      <c r="K16" s="233">
        <f t="shared" si="3"/>
        <v>0.24579370885149962</v>
      </c>
      <c r="L16" s="1028">
        <f>IF(ISNUMBER(NºAsuntos!I16/NºAsuntos!G16),(NºAsuntos!I16/NºAsuntos!G16)*11," - ")</f>
        <v>28.254901960784316</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293</v>
      </c>
      <c r="D17" s="228">
        <f>IF(ISNUMBER(IF(D_I="SI",Datos!I17,Datos!I17+Datos!AC17)),IF(D_I="SI",Datos!I17,Datos!I17+Datos!AC17)," - ")</f>
        <v>293</v>
      </c>
      <c r="E17" s="229">
        <f>IF(ISNUMBER(IF(D_I="SI",Datos!J17,Datos!J17+Datos!AD17)),IF(D_I="SI",Datos!J17,Datos!J17+Datos!AD17)," - ")</f>
        <v>63</v>
      </c>
      <c r="F17" s="229">
        <f>IF(ISNUMBER(IF(D_I="SI",Datos!K17,Datos!K17+Datos!AE17)),IF(D_I="SI",Datos!K17,Datos!K17+Datos!AE17)," - ")</f>
        <v>68</v>
      </c>
      <c r="G17" s="1037" t="str">
        <f>IF(Datos!E17&lt;&gt;"",Datos!E17,Datos!D17)</f>
        <v>37</v>
      </c>
      <c r="H17" s="230">
        <f>IF(ISNUMBER(IF(D_I="SI",Datos!L17,Datos!L17+Datos!AF17)),IF(D_I="SI",Datos!L17,Datos!L17+Datos!AF17)," - ")</f>
        <v>288</v>
      </c>
      <c r="I17" s="1047" t="str">
        <f>IF(ISNUMBER(Datos!AS17/Datos!BM17),Datos!AS17/Datos!BM17," - ")</f>
        <v xml:space="preserve"> - </v>
      </c>
      <c r="J17" s="1048" t="str">
        <f>IF(ISNUMBER((Datos!BY17+Datos!BZ17)/Datos!CN17),(Datos!BY17+Datos!BZ17)/Datos!CN17," - ")</f>
        <v xml:space="preserve"> - </v>
      </c>
      <c r="K17" s="233">
        <f t="shared" si="3"/>
        <v>-1.7064846416382253E-2</v>
      </c>
      <c r="L17" s="1028">
        <f>IF(ISNUMBER(NºAsuntos!I17/NºAsuntos!G17),(NºAsuntos!I17/NºAsuntos!G17)*11," - ")</f>
        <v>46.588235294117645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1660</v>
      </c>
      <c r="D18" s="1052">
        <f>SUBTOTAL(9,D15:D17)</f>
        <v>1660</v>
      </c>
      <c r="E18" s="1053">
        <f>SUBTOTAL(9,E15:E17)</f>
        <v>1062</v>
      </c>
      <c r="F18" s="1053">
        <f>SUBTOTAL(9,F15:F17)</f>
        <v>731</v>
      </c>
      <c r="G18" s="1055" t="str">
        <f ca="1">INDIRECT(CONCATENATE("G",ROW()-1))</f>
        <v>37</v>
      </c>
      <c r="H18" s="1056">
        <f ca="1">SUMIF(G$14:G17,G18,H$14:H17)</f>
        <v>288</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1694</v>
      </c>
      <c r="D19" s="1074">
        <f>SUBTOTAL(9,D9:D18)</f>
        <v>1694</v>
      </c>
      <c r="E19" s="1075">
        <f>SUBTOTAL(9,E9:E18)</f>
        <v>1067</v>
      </c>
      <c r="F19" s="1075">
        <f>SUBTOTAL(9,F9:F18)</f>
        <v>735</v>
      </c>
      <c r="G19" s="1076"/>
      <c r="H19" s="1077">
        <f ca="1">SUMIF(B9:B18,"TOTAL",H9:H18)</f>
        <v>288</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1IQXNCfwTAi5eGBW4l6tIdN98eprNfeo4yaVMi1SgWFigPiLo2myfy61fc5ENOC8DZqcr/kTiBxROTf7z8j0jQ==" saltValue="DFf2Gg3DMUuUjYx6kxMvvw=="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Zc+L2Gb9664L3dBSdMdeONyQDFkA8gOvq1/vXBEb7fQ33e2MfDlOpOKot7i0npDRr5QJs6kMg5cmJ2oLn5PP2w==" saltValue="5ysO32t7oCODdGikrMsiL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34</v>
      </c>
      <c r="J10" s="184">
        <v>5</v>
      </c>
      <c r="K10" s="184">
        <v>4</v>
      </c>
      <c r="L10" s="184">
        <v>35</v>
      </c>
      <c r="M10" s="184">
        <v>1</v>
      </c>
      <c r="N10" s="184">
        <v>3</v>
      </c>
      <c r="O10" s="184">
        <v>0</v>
      </c>
      <c r="P10" s="184">
        <v>3</v>
      </c>
      <c r="Q10" s="184">
        <v>0</v>
      </c>
      <c r="R10" s="184">
        <v>21</v>
      </c>
      <c r="S10" s="184">
        <v>44</v>
      </c>
      <c r="T10" s="184">
        <v>9</v>
      </c>
      <c r="U10" s="184">
        <v>10</v>
      </c>
      <c r="V10" s="184">
        <v>43</v>
      </c>
      <c r="W10" s="184">
        <v>4</v>
      </c>
      <c r="X10" s="191">
        <v>5</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44</v>
      </c>
      <c r="AZ10" s="129">
        <f t="shared" si="0"/>
        <v>9</v>
      </c>
      <c r="BA10" s="129">
        <f t="shared" si="0"/>
        <v>10</v>
      </c>
      <c r="BB10" s="129">
        <f t="shared" si="0"/>
        <v>43</v>
      </c>
      <c r="BC10" s="125">
        <f t="shared" si="0"/>
        <v>4</v>
      </c>
      <c r="BD10" s="126">
        <f>IF(ISNUMBER(BA10/AZ10),BA10/AZ10," - ")</f>
        <v>1.1111111111111112</v>
      </c>
      <c r="BE10" s="127">
        <f>IF(ISNUMBER(BB10/BA10),BB10/BA10, " - ")</f>
        <v>4.3</v>
      </c>
      <c r="BF10" s="127">
        <f>IF(ISNUMBER(BC10/BA10),BC10/BA10, " - ")</f>
        <v>0.4</v>
      </c>
      <c r="BG10" s="199">
        <f>IF(ISNUMBER((AY10+AZ10)/BA10),(AY10+AZ10)/BA10," - ")</f>
        <v>5.3</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3092</v>
      </c>
      <c r="J12" s="186">
        <v>825</v>
      </c>
      <c r="K12" s="186">
        <v>829</v>
      </c>
      <c r="L12" s="186">
        <v>3088</v>
      </c>
      <c r="M12" s="186">
        <v>203</v>
      </c>
      <c r="N12" s="186">
        <v>383</v>
      </c>
      <c r="O12" s="184">
        <v>215</v>
      </c>
      <c r="P12" s="186">
        <v>228</v>
      </c>
      <c r="Q12" s="186">
        <v>84</v>
      </c>
      <c r="R12" s="186">
        <v>3365</v>
      </c>
      <c r="S12" s="186">
        <v>2210</v>
      </c>
      <c r="T12" s="186">
        <v>790</v>
      </c>
      <c r="U12" s="186">
        <v>548</v>
      </c>
      <c r="V12" s="186">
        <v>2452</v>
      </c>
      <c r="W12" s="186">
        <v>100</v>
      </c>
      <c r="X12" s="192">
        <v>244</v>
      </c>
      <c r="Y12" s="194">
        <v>175</v>
      </c>
      <c r="Z12" s="184">
        <v>42</v>
      </c>
      <c r="AA12" s="184">
        <v>74</v>
      </c>
      <c r="AB12" s="184">
        <v>143</v>
      </c>
      <c r="AC12" s="186">
        <v>0</v>
      </c>
      <c r="AD12" s="186">
        <v>0</v>
      </c>
      <c r="AE12" s="186">
        <v>0</v>
      </c>
      <c r="AF12" s="192">
        <v>0</v>
      </c>
      <c r="AG12" s="205">
        <v>174</v>
      </c>
      <c r="AH12" s="186">
        <v>74</v>
      </c>
      <c r="AI12" s="186">
        <v>65</v>
      </c>
      <c r="AJ12" s="206">
        <v>183</v>
      </c>
      <c r="AK12" s="185">
        <v>0</v>
      </c>
      <c r="AL12" s="186">
        <v>0</v>
      </c>
      <c r="AM12" s="186">
        <v>0</v>
      </c>
      <c r="AN12" s="192">
        <v>0</v>
      </c>
      <c r="AO12" s="262">
        <v>3</v>
      </c>
      <c r="AP12" s="158">
        <v>3</v>
      </c>
      <c r="AQ12" s="158">
        <v>3</v>
      </c>
      <c r="AR12" s="157">
        <v>3</v>
      </c>
      <c r="AS12" s="343" t="s">
        <v>807</v>
      </c>
      <c r="AT12" s="206"/>
      <c r="AU12" s="205"/>
      <c r="AV12" s="206"/>
      <c r="AW12" s="205"/>
      <c r="AX12" s="206"/>
      <c r="AY12" s="126">
        <f t="shared" si="1"/>
        <v>2384</v>
      </c>
      <c r="AZ12" s="127">
        <f t="shared" si="1"/>
        <v>864</v>
      </c>
      <c r="BA12" s="127">
        <f t="shared" si="1"/>
        <v>613</v>
      </c>
      <c r="BB12" s="127">
        <f t="shared" si="1"/>
        <v>2635</v>
      </c>
      <c r="BC12" s="125">
        <f>IF(ISNUMBER(X12),X12," - ")</f>
        <v>244</v>
      </c>
      <c r="BD12" s="126">
        <f t="shared" si="2"/>
        <v>0.7094907407407407</v>
      </c>
      <c r="BE12" s="127">
        <f t="shared" si="3"/>
        <v>4.298531810766721</v>
      </c>
      <c r="BF12" s="127">
        <f t="shared" si="4"/>
        <v>0.39804241435562804</v>
      </c>
      <c r="BG12" s="199">
        <f t="shared" si="5"/>
        <v>5.298531810766721</v>
      </c>
      <c r="BH12" s="158">
        <v>3</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3126</v>
      </c>
      <c r="J13" s="187">
        <f t="shared" si="6"/>
        <v>830</v>
      </c>
      <c r="K13" s="187">
        <f t="shared" si="6"/>
        <v>833</v>
      </c>
      <c r="L13" s="187">
        <f t="shared" si="6"/>
        <v>3123</v>
      </c>
      <c r="M13" s="187">
        <f t="shared" si="6"/>
        <v>204</v>
      </c>
      <c r="N13" s="187">
        <f t="shared" si="6"/>
        <v>386</v>
      </c>
      <c r="O13" s="187">
        <f t="shared" si="6"/>
        <v>215</v>
      </c>
      <c r="P13" s="187">
        <f t="shared" si="6"/>
        <v>231</v>
      </c>
      <c r="Q13" s="187">
        <f t="shared" si="6"/>
        <v>84</v>
      </c>
      <c r="R13" s="187">
        <f t="shared" si="6"/>
        <v>3386</v>
      </c>
      <c r="S13" s="187">
        <f t="shared" si="6"/>
        <v>2254</v>
      </c>
      <c r="T13" s="187">
        <f t="shared" si="6"/>
        <v>799</v>
      </c>
      <c r="U13" s="187">
        <f t="shared" si="6"/>
        <v>558</v>
      </c>
      <c r="V13" s="187">
        <f t="shared" si="6"/>
        <v>2495</v>
      </c>
      <c r="W13" s="187">
        <f t="shared" si="6"/>
        <v>104</v>
      </c>
      <c r="X13" s="187">
        <f t="shared" si="6"/>
        <v>249</v>
      </c>
      <c r="Y13" s="187">
        <f t="shared" si="6"/>
        <v>175</v>
      </c>
      <c r="Z13" s="187">
        <f t="shared" si="6"/>
        <v>42</v>
      </c>
      <c r="AA13" s="187">
        <f t="shared" si="6"/>
        <v>74</v>
      </c>
      <c r="AB13" s="187">
        <f t="shared" si="6"/>
        <v>143</v>
      </c>
      <c r="AC13" s="187">
        <f t="shared" si="6"/>
        <v>0</v>
      </c>
      <c r="AD13" s="187">
        <f t="shared" si="6"/>
        <v>0</v>
      </c>
      <c r="AE13" s="187">
        <f t="shared" si="6"/>
        <v>0</v>
      </c>
      <c r="AF13" s="187">
        <f>SUBTOTAL(9,AF9:AF12)</f>
        <v>0</v>
      </c>
      <c r="AG13" s="187">
        <f t="shared" ref="AG13:AT13" si="7">SUBTOTAL(9,AG8:AG12)</f>
        <v>174</v>
      </c>
      <c r="AH13" s="187">
        <f t="shared" si="7"/>
        <v>74</v>
      </c>
      <c r="AI13" s="187">
        <f t="shared" si="7"/>
        <v>65</v>
      </c>
      <c r="AJ13" s="187">
        <f t="shared" si="7"/>
        <v>183</v>
      </c>
      <c r="AK13" s="187">
        <f t="shared" si="7"/>
        <v>0</v>
      </c>
      <c r="AL13" s="187">
        <f t="shared" si="7"/>
        <v>0</v>
      </c>
      <c r="AM13" s="187">
        <f t="shared" si="7"/>
        <v>0</v>
      </c>
      <c r="AN13" s="187">
        <f t="shared" si="7"/>
        <v>0</v>
      </c>
      <c r="AO13" s="187">
        <f t="shared" si="7"/>
        <v>4</v>
      </c>
      <c r="AP13" s="187">
        <f t="shared" si="7"/>
        <v>3</v>
      </c>
      <c r="AQ13" s="187">
        <f t="shared" si="7"/>
        <v>3</v>
      </c>
      <c r="AR13" s="187">
        <f t="shared" si="7"/>
        <v>3</v>
      </c>
      <c r="AS13" s="187">
        <f t="shared" si="7"/>
        <v>0</v>
      </c>
      <c r="AT13" s="187">
        <f t="shared" si="7"/>
        <v>0</v>
      </c>
      <c r="AU13" s="207"/>
      <c r="AV13" s="132"/>
      <c r="AW13" s="207"/>
      <c r="AX13" s="132"/>
      <c r="AY13" s="187">
        <f>SUBTOTAL(9,AY8:AY12)</f>
        <v>2428</v>
      </c>
      <c r="AZ13" s="187">
        <f>SUBTOTAL(9,AZ8:AZ12)</f>
        <v>873</v>
      </c>
      <c r="BA13" s="187">
        <f>SUBTOTAL(9,BA8:BA12)</f>
        <v>623</v>
      </c>
      <c r="BB13" s="187">
        <f>SUBTOTAL(9,BB8:BB12)</f>
        <v>2678</v>
      </c>
      <c r="BC13" s="187">
        <f>SUBTOTAL(9,BC8:BC12)</f>
        <v>248</v>
      </c>
      <c r="BD13" s="208">
        <f>IF(ISNUMBER(BA13/AZ13),BA13/AZ13," - ")</f>
        <v>0.71363115693012602</v>
      </c>
      <c r="BE13" s="209">
        <f>IF(ISNUMBER(BB13/BA13),BB13/BA13, " - ")</f>
        <v>4.2985553772070624</v>
      </c>
      <c r="BF13" s="209">
        <f>IF(ISNUMBER(BC13/BA13),BC13/BA13, " - ")</f>
        <v>0.39807383627608345</v>
      </c>
      <c r="BG13" s="210">
        <f>IF(ISNUMBER((AY13+AZ13)/BA13),(AY13+AZ13)/BA13," - ")</f>
        <v>5.2985553772070624</v>
      </c>
      <c r="BH13" s="143">
        <f>SUBTOTAL(9,BH8:BH12)</f>
        <v>4</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1367</v>
      </c>
      <c r="J16" s="186">
        <v>999</v>
      </c>
      <c r="K16" s="186">
        <v>663</v>
      </c>
      <c r="L16" s="186">
        <v>1703</v>
      </c>
      <c r="M16" s="186">
        <v>64</v>
      </c>
      <c r="N16" s="186">
        <v>470</v>
      </c>
      <c r="O16" s="184">
        <v>4</v>
      </c>
      <c r="P16" s="186">
        <v>5</v>
      </c>
      <c r="Q16" s="186">
        <v>10</v>
      </c>
      <c r="R16" s="186">
        <v>77</v>
      </c>
      <c r="S16" s="186">
        <v>1215</v>
      </c>
      <c r="T16" s="186">
        <v>1027</v>
      </c>
      <c r="U16" s="186">
        <v>808</v>
      </c>
      <c r="V16" s="186">
        <v>1435</v>
      </c>
      <c r="W16" s="186">
        <v>74</v>
      </c>
      <c r="X16" s="192">
        <v>597</v>
      </c>
      <c r="Y16" s="205">
        <v>0</v>
      </c>
      <c r="Z16" s="186">
        <v>0</v>
      </c>
      <c r="AA16" s="186">
        <v>0</v>
      </c>
      <c r="AB16" s="186">
        <v>0</v>
      </c>
      <c r="AC16" s="186">
        <v>7</v>
      </c>
      <c r="AD16" s="186">
        <v>15</v>
      </c>
      <c r="AE16" s="186">
        <v>17</v>
      </c>
      <c r="AF16" s="192">
        <v>5</v>
      </c>
      <c r="AG16" s="205">
        <v>0</v>
      </c>
      <c r="AH16" s="186">
        <v>0</v>
      </c>
      <c r="AI16" s="186">
        <v>0</v>
      </c>
      <c r="AJ16" s="206">
        <v>0</v>
      </c>
      <c r="AK16" s="185">
        <v>4</v>
      </c>
      <c r="AL16" s="186">
        <v>53</v>
      </c>
      <c r="AM16" s="186">
        <v>50</v>
      </c>
      <c r="AN16" s="192">
        <v>7</v>
      </c>
      <c r="AO16" s="262">
        <v>3</v>
      </c>
      <c r="AP16" s="158">
        <v>3</v>
      </c>
      <c r="AQ16" s="158">
        <v>3</v>
      </c>
      <c r="AR16" s="158">
        <v>3</v>
      </c>
      <c r="AS16" s="343" t="s">
        <v>491</v>
      </c>
      <c r="AT16" s="206"/>
      <c r="AU16" s="205"/>
      <c r="AV16" s="206"/>
      <c r="AW16" s="205"/>
      <c r="AX16" s="206"/>
      <c r="AY16" s="126">
        <f t="shared" si="9"/>
        <v>1215</v>
      </c>
      <c r="AZ16" s="127">
        <f t="shared" si="9"/>
        <v>1027</v>
      </c>
      <c r="BA16" s="127">
        <f t="shared" si="9"/>
        <v>808</v>
      </c>
      <c r="BB16" s="127">
        <f t="shared" si="9"/>
        <v>1435</v>
      </c>
      <c r="BC16" s="125">
        <f>IF(ISNUMBER(W16),W16," - ")</f>
        <v>74</v>
      </c>
      <c r="BD16" s="126">
        <f t="shared" ref="BD16" si="11">IF(ISNUMBER(BA16/AZ16),BA16/AZ16," - ")</f>
        <v>0.78675754625121719</v>
      </c>
      <c r="BE16" s="127">
        <f t="shared" ref="BE16" si="12">IF(ISNUMBER(BB16/BA16),BB16/BA16, " - ")</f>
        <v>1.7759900990099009</v>
      </c>
      <c r="BF16" s="127">
        <f t="shared" ref="BF16" si="13">IF(ISNUMBER(BC16/BA16),BC16/BA16, " - ")</f>
        <v>9.1584158415841582E-2</v>
      </c>
      <c r="BG16" s="199">
        <f t="shared" si="10"/>
        <v>2.7747524752475248</v>
      </c>
      <c r="BH16" s="158">
        <v>3</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293</v>
      </c>
      <c r="J17" s="186">
        <v>63</v>
      </c>
      <c r="K17" s="186">
        <v>68</v>
      </c>
      <c r="L17" s="186">
        <v>288</v>
      </c>
      <c r="M17" s="186">
        <v>3</v>
      </c>
      <c r="N17" s="186">
        <v>26</v>
      </c>
      <c r="O17" s="186">
        <v>0</v>
      </c>
      <c r="P17" s="186">
        <v>0</v>
      </c>
      <c r="Q17" s="186">
        <v>0</v>
      </c>
      <c r="R17" s="186">
        <v>0</v>
      </c>
      <c r="S17" s="186">
        <v>239</v>
      </c>
      <c r="T17" s="186">
        <v>65</v>
      </c>
      <c r="U17" s="186">
        <v>53</v>
      </c>
      <c r="V17" s="186">
        <v>251</v>
      </c>
      <c r="W17" s="186">
        <v>3</v>
      </c>
      <c r="X17" s="192">
        <v>23</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239</v>
      </c>
      <c r="AZ17" s="129">
        <f t="shared" si="14"/>
        <v>65</v>
      </c>
      <c r="BA17" s="129">
        <f t="shared" si="14"/>
        <v>53</v>
      </c>
      <c r="BB17" s="129">
        <f t="shared" si="14"/>
        <v>251</v>
      </c>
      <c r="BC17" s="125">
        <f>IF(ISNUMBER(W17),W17," - ")</f>
        <v>3</v>
      </c>
      <c r="BD17" s="126">
        <f>IF(ISNUMBER(BA17/AZ17),BA17/AZ17," - ")</f>
        <v>0.81538461538461537</v>
      </c>
      <c r="BE17" s="127">
        <f>IF(ISNUMBER(BB17/BA17),BB17/BA17, " - ")</f>
        <v>4.7358490566037732</v>
      </c>
      <c r="BF17" s="127">
        <f>IF(ISNUMBER(BC17/BA17),BC17/BA17, " - ")</f>
        <v>5.6603773584905662E-2</v>
      </c>
      <c r="BG17" s="199">
        <f>IF(ISNUMBER((AY17+AZ17)/BA17),(AY17+AZ17)/BA17," - ")</f>
        <v>5.7358490566037732</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1660</v>
      </c>
      <c r="J18" s="187">
        <f t="shared" si="15"/>
        <v>1062</v>
      </c>
      <c r="K18" s="187">
        <f t="shared" si="15"/>
        <v>731</v>
      </c>
      <c r="L18" s="187">
        <f t="shared" si="15"/>
        <v>1991</v>
      </c>
      <c r="M18" s="187">
        <f t="shared" si="15"/>
        <v>67</v>
      </c>
      <c r="N18" s="187">
        <f t="shared" si="15"/>
        <v>496</v>
      </c>
      <c r="O18" s="187">
        <f t="shared" si="15"/>
        <v>4</v>
      </c>
      <c r="P18" s="187">
        <f t="shared" si="15"/>
        <v>5</v>
      </c>
      <c r="Q18" s="187">
        <f t="shared" si="15"/>
        <v>10</v>
      </c>
      <c r="R18" s="187">
        <f t="shared" si="15"/>
        <v>77</v>
      </c>
      <c r="S18" s="187">
        <f t="shared" si="15"/>
        <v>1454</v>
      </c>
      <c r="T18" s="187">
        <f t="shared" si="15"/>
        <v>1092</v>
      </c>
      <c r="U18" s="187">
        <f t="shared" si="15"/>
        <v>861</v>
      </c>
      <c r="V18" s="187">
        <f t="shared" si="15"/>
        <v>1686</v>
      </c>
      <c r="W18" s="187">
        <f t="shared" si="15"/>
        <v>77</v>
      </c>
      <c r="X18" s="187">
        <f t="shared" si="15"/>
        <v>620</v>
      </c>
      <c r="Y18" s="187">
        <f t="shared" si="15"/>
        <v>0</v>
      </c>
      <c r="Z18" s="187">
        <f t="shared" si="15"/>
        <v>0</v>
      </c>
      <c r="AA18" s="187">
        <f t="shared" si="15"/>
        <v>0</v>
      </c>
      <c r="AB18" s="187">
        <f t="shared" si="15"/>
        <v>0</v>
      </c>
      <c r="AC18" s="187">
        <f t="shared" si="15"/>
        <v>7</v>
      </c>
      <c r="AD18" s="187">
        <f t="shared" si="15"/>
        <v>15</v>
      </c>
      <c r="AE18" s="187">
        <f t="shared" si="15"/>
        <v>17</v>
      </c>
      <c r="AF18" s="187">
        <f t="shared" si="15"/>
        <v>5</v>
      </c>
      <c r="AG18" s="187">
        <f t="shared" si="15"/>
        <v>0</v>
      </c>
      <c r="AH18" s="187">
        <f t="shared" si="15"/>
        <v>0</v>
      </c>
      <c r="AI18" s="187">
        <f t="shared" si="15"/>
        <v>0</v>
      </c>
      <c r="AJ18" s="187">
        <f t="shared" si="15"/>
        <v>0</v>
      </c>
      <c r="AK18" s="187">
        <f t="shared" si="15"/>
        <v>4</v>
      </c>
      <c r="AL18" s="187">
        <f t="shared" si="15"/>
        <v>53</v>
      </c>
      <c r="AM18" s="187">
        <f t="shared" si="15"/>
        <v>50</v>
      </c>
      <c r="AN18" s="187">
        <f t="shared" si="15"/>
        <v>7</v>
      </c>
      <c r="AO18" s="187">
        <f t="shared" si="15"/>
        <v>4</v>
      </c>
      <c r="AP18" s="187">
        <f t="shared" si="15"/>
        <v>3</v>
      </c>
      <c r="AQ18" s="187">
        <f t="shared" si="15"/>
        <v>3</v>
      </c>
      <c r="AR18" s="187">
        <f t="shared" si="15"/>
        <v>3</v>
      </c>
      <c r="AS18" s="187">
        <f t="shared" si="15"/>
        <v>0</v>
      </c>
      <c r="AT18" s="187">
        <f t="shared" si="15"/>
        <v>0</v>
      </c>
      <c r="AU18" s="207"/>
      <c r="AV18" s="132"/>
      <c r="AW18" s="207"/>
      <c r="AX18" s="132"/>
      <c r="AY18" s="187">
        <f>SUBTOTAL(9,AY14:AY17)</f>
        <v>1454</v>
      </c>
      <c r="AZ18" s="187">
        <f>SUBTOTAL(9,AZ14:AZ17)</f>
        <v>1092</v>
      </c>
      <c r="BA18" s="187">
        <f>SUBTOTAL(9,BA14:BA17)</f>
        <v>861</v>
      </c>
      <c r="BB18" s="187">
        <f>SUBTOTAL(9,BB14:BB17)</f>
        <v>1686</v>
      </c>
      <c r="BC18" s="187">
        <f>SUBTOTAL(9,BC14:BC17)</f>
        <v>77</v>
      </c>
      <c r="BD18" s="208">
        <f>IF(ISNUMBER(BA18/AZ18),BA18/AZ18," - ")</f>
        <v>0.78846153846153844</v>
      </c>
      <c r="BE18" s="209">
        <f>IF(ISNUMBER(BB18/BA18),BB18/BA18, " - ")</f>
        <v>1.9581881533101044</v>
      </c>
      <c r="BF18" s="209">
        <f>IF(ISNUMBER(BC18/BA18),BC18/BA18, " - ")</f>
        <v>8.943089430894309E-2</v>
      </c>
      <c r="BG18" s="210">
        <f>IF(ISNUMBER((AY18+AZ18)/BA18),(AY18+AZ18)/BA18," - ")</f>
        <v>2.9570267131242742</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4786</v>
      </c>
      <c r="J19" s="134">
        <f t="shared" si="18"/>
        <v>1892</v>
      </c>
      <c r="K19" s="134">
        <f t="shared" si="18"/>
        <v>1564</v>
      </c>
      <c r="L19" s="134">
        <f t="shared" si="18"/>
        <v>5114</v>
      </c>
      <c r="M19" s="134">
        <f t="shared" si="18"/>
        <v>271</v>
      </c>
      <c r="N19" s="134">
        <f t="shared" si="18"/>
        <v>882</v>
      </c>
      <c r="O19" s="134">
        <f t="shared" si="18"/>
        <v>219</v>
      </c>
      <c r="P19" s="134">
        <f t="shared" si="18"/>
        <v>236</v>
      </c>
      <c r="Q19" s="134">
        <f t="shared" si="18"/>
        <v>94</v>
      </c>
      <c r="R19" s="134">
        <f t="shared" si="18"/>
        <v>3463</v>
      </c>
      <c r="S19" s="134">
        <f t="shared" si="18"/>
        <v>3708</v>
      </c>
      <c r="T19" s="134">
        <f t="shared" si="18"/>
        <v>1891</v>
      </c>
      <c r="U19" s="134">
        <f t="shared" si="18"/>
        <v>1419</v>
      </c>
      <c r="V19" s="134">
        <f t="shared" si="18"/>
        <v>4181</v>
      </c>
      <c r="W19" s="134">
        <f t="shared" si="18"/>
        <v>181</v>
      </c>
      <c r="X19" s="134">
        <f t="shared" si="18"/>
        <v>869</v>
      </c>
      <c r="Y19" s="134">
        <f t="shared" si="18"/>
        <v>175</v>
      </c>
      <c r="Z19" s="134">
        <f t="shared" si="18"/>
        <v>42</v>
      </c>
      <c r="AA19" s="134">
        <f t="shared" si="18"/>
        <v>74</v>
      </c>
      <c r="AB19" s="134">
        <f t="shared" si="18"/>
        <v>143</v>
      </c>
      <c r="AC19" s="134">
        <f t="shared" si="18"/>
        <v>7</v>
      </c>
      <c r="AD19" s="134">
        <f t="shared" si="18"/>
        <v>15</v>
      </c>
      <c r="AE19" s="134">
        <f t="shared" si="18"/>
        <v>17</v>
      </c>
      <c r="AF19" s="134">
        <f t="shared" si="18"/>
        <v>5</v>
      </c>
      <c r="AG19" s="134">
        <f t="shared" si="18"/>
        <v>174</v>
      </c>
      <c r="AH19" s="134">
        <f t="shared" si="18"/>
        <v>74</v>
      </c>
      <c r="AI19" s="134">
        <f t="shared" si="18"/>
        <v>65</v>
      </c>
      <c r="AJ19" s="134">
        <f t="shared" si="18"/>
        <v>183</v>
      </c>
      <c r="AK19" s="134">
        <f t="shared" si="18"/>
        <v>4</v>
      </c>
      <c r="AL19" s="134">
        <f t="shared" si="18"/>
        <v>53</v>
      </c>
      <c r="AM19" s="134">
        <f t="shared" si="18"/>
        <v>50</v>
      </c>
      <c r="AN19" s="213">
        <f t="shared" si="18"/>
        <v>7</v>
      </c>
      <c r="AO19" s="214">
        <v>4</v>
      </c>
      <c r="AP19" s="214">
        <v>3</v>
      </c>
      <c r="AQ19" s="214">
        <v>3</v>
      </c>
      <c r="AR19" s="214">
        <v>3</v>
      </c>
      <c r="AS19" s="156">
        <f t="shared" si="18"/>
        <v>0</v>
      </c>
      <c r="AT19" s="156">
        <f t="shared" si="18"/>
        <v>0</v>
      </c>
      <c r="AU19" s="214"/>
      <c r="AV19" s="215"/>
      <c r="AW19" s="214"/>
      <c r="AX19" s="215"/>
      <c r="AY19" s="133">
        <f>SUBTOTAL(9,AY9:AY18)</f>
        <v>3882</v>
      </c>
      <c r="AZ19" s="134">
        <f>SUBTOTAL(9,AZ9:AZ18)</f>
        <v>1965</v>
      </c>
      <c r="BA19" s="134">
        <f>SUBTOTAL(9,BA9:BA18)</f>
        <v>1484</v>
      </c>
      <c r="BB19" s="134">
        <f>SUBTOTAL(9,BB9:BB18)</f>
        <v>4364</v>
      </c>
      <c r="BC19" s="135">
        <f>SUBTOTAL(9,BC9:BC18)</f>
        <v>325</v>
      </c>
      <c r="BD19" s="216">
        <f>IF(ISNUMBER(BA19/AZ19),BA19/AZ19," - ")</f>
        <v>0.75521628498727733</v>
      </c>
      <c r="BE19" s="213">
        <f>IF(ISNUMBER(BB19/BA19),BB19/BA19, " - ")</f>
        <v>2.940700808625337</v>
      </c>
      <c r="BF19" s="213">
        <f>IF(ISNUMBER(BC19/BA19),BC19/BA19, " - ")</f>
        <v>0.21900269541778974</v>
      </c>
      <c r="BG19" s="135">
        <f>IF(ISNUMBER((AY19+AZ19)/BA19),(AY19+AZ19)/BA19," - ")</f>
        <v>3.9400269541778976</v>
      </c>
      <c r="BH19" s="214">
        <f>SUBTOTAL(9,BH9:BH18)</f>
        <v>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b6+vuxO5+kxarfa80OuzMiDgbQOpNGIprgr7Bq+LfFJu/R9TrOaX+epHLKh6EVYa0/HGvWyWxR8KEgWpf1L9Q==" saltValue="p/t6Xf9IwA6JnFSF9wtM/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l9D2QqOvcVzSqTIxUXxcL2Sl4L7RLfn4c/OUCBZprKtVj0TGxGBMaFf0t7nV8Vna1h/mRPKytGRaj9Y+MTdbQ==" saltValue="zLKOFvp2NXnQH7V7kelrX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CATALUÑA</v>
      </c>
    </row>
    <row r="2" spans="1:74" ht="16.5" customHeight="1">
      <c r="C2" s="491" t="str">
        <f>Criterios!A10 &amp;"  "&amp;Criterios!B10 &amp; "  " &amp; IF(NOT(ISBLANK(Criterios!A11)),Criterios!A11 &amp;"  "&amp;Criterios!B11,"")</f>
        <v>Provincias  TARRAGONA  Resumenes por Partidos Judiciales  VALLS</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34</v>
      </c>
      <c r="G10" s="336">
        <f>IF(ISNUMBER(Datos!I10),Datos!I10," - ")</f>
        <v>34</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3</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4</v>
      </c>
      <c r="AC10" s="229">
        <f>IF(ISNUMBER(Datos!Q10),Datos!Q10," - ")</f>
        <v>0</v>
      </c>
      <c r="AD10" s="337"/>
      <c r="AE10" s="487"/>
      <c r="AF10" s="335">
        <f>IF(ISNUMBER(Datos!L10),Datos!L10,"-")</f>
        <v>35</v>
      </c>
      <c r="AG10" s="337"/>
      <c r="AH10" s="337"/>
      <c r="AI10" s="337"/>
      <c r="AJ10" s="337"/>
      <c r="AK10" s="337"/>
      <c r="AL10" s="482"/>
      <c r="AM10" s="338">
        <f>IF(ISNUMBER(Datos!R10),Datos!R10," - ")</f>
        <v>21</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v>
      </c>
      <c r="BD10" s="232">
        <f>IF(ISNUMBER(Datos!N10),Datos!N10," - ")</f>
        <v>3</v>
      </c>
      <c r="BE10" s="232" t="str">
        <f>IF(ISNUMBER(Datos!BW10),Datos!BW10," - ")</f>
        <v xml:space="preserve"> - </v>
      </c>
      <c r="BF10" s="231" t="str">
        <f>IF(ISNUMBER(Datos!BX10),Datos!BX10," - ")</f>
        <v xml:space="preserve"> - </v>
      </c>
      <c r="BG10" s="246">
        <f>IF(ISNUMBER(Datos!K10/Datos!J10),Datos!K10/Datos!J10," - ")</f>
        <v>0.8</v>
      </c>
      <c r="BH10" s="263">
        <f>IF(ISNUMBER(((Datos!L10/Datos!K10)*11)/factor_trimestre),((Datos!L10/Datos!K10)*11)/factor_trimestre," - ")</f>
        <v>26.25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0.16666666666666666</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3</v>
      </c>
      <c r="B12" s="510" t="s">
        <v>249</v>
      </c>
      <c r="C12" s="7" t="str">
        <f>Datos!A12</f>
        <v xml:space="preserve">Jdos. 1ª Instª. e Instr.                        </v>
      </c>
      <c r="D12" s="511"/>
      <c r="E12" s="263">
        <f>IF(ISNUMBER(Datos!AQ12),Datos!AQ12," - ")</f>
        <v>3</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42</v>
      </c>
      <c r="O12" s="337"/>
      <c r="P12" s="337"/>
      <c r="Q12" s="229">
        <f>IF(ISNUMBER(Datos!P12),Datos!P12,0)</f>
        <v>228</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84</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143</v>
      </c>
      <c r="AI12" s="337" t="str">
        <f>IF(ISNUMBER(Datos!CD12),Datos!CD12,"-")</f>
        <v>-</v>
      </c>
      <c r="AJ12" s="337" t="str">
        <f>IF(ISNUMBER(Datos!EN12),Datos!EN12," - ")</f>
        <v xml:space="preserve"> - </v>
      </c>
      <c r="AK12" s="337"/>
      <c r="AL12" s="482"/>
      <c r="AM12" s="338">
        <f>IF(ISNUMBER(Datos!R12),Datos!R12," - ")</f>
        <v>3365</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203</v>
      </c>
      <c r="BD12" s="232">
        <f>IF(ISNUMBER(Datos!N12),Datos!N12," - ")</f>
        <v>383</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1.0415224913494809</v>
      </c>
      <c r="BH12" s="263">
        <f>IF(ISNUMBER(((IF(J_V="SI",Datos!L12/Datos!K12,(Datos!L12+Datos!AB12)/(Datos!K12+Datos!AA12)))*11)/factor_trimestre),((IF(J_V="SI",Datos!L12/Datos!K12,(Datos!L12+Datos!AB12)/(Datos!K12+Datos!AA12)))*11)/factor_trimestre," - ")</f>
        <v>10.734219269102992</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4.4706612853151195E-2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3</v>
      </c>
      <c r="F13" s="901">
        <f t="shared" si="0"/>
        <v>34</v>
      </c>
      <c r="G13" s="901">
        <f t="shared" si="0"/>
        <v>34</v>
      </c>
      <c r="H13" s="902">
        <f t="shared" si="0"/>
        <v>0</v>
      </c>
      <c r="I13" s="901">
        <f t="shared" si="0"/>
        <v>0</v>
      </c>
      <c r="J13" s="870">
        <f t="shared" si="0"/>
        <v>0</v>
      </c>
      <c r="K13" s="870">
        <f t="shared" si="0"/>
        <v>0</v>
      </c>
      <c r="L13" s="902">
        <f t="shared" si="0"/>
        <v>0</v>
      </c>
      <c r="M13" s="902">
        <f t="shared" si="0"/>
        <v>0</v>
      </c>
      <c r="N13" s="902">
        <f t="shared" si="0"/>
        <v>42</v>
      </c>
      <c r="O13" s="903">
        <f t="shared" si="0"/>
        <v>0</v>
      </c>
      <c r="P13" s="903">
        <f t="shared" si="0"/>
        <v>0</v>
      </c>
      <c r="Q13" s="902">
        <f t="shared" si="0"/>
        <v>231</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4</v>
      </c>
      <c r="AC13" s="902">
        <f t="shared" si="1"/>
        <v>84</v>
      </c>
      <c r="AD13" s="902">
        <f t="shared" si="1"/>
        <v>0</v>
      </c>
      <c r="AE13" s="902">
        <f t="shared" si="1"/>
        <v>0</v>
      </c>
      <c r="AF13" s="902">
        <f t="shared" si="1"/>
        <v>35</v>
      </c>
      <c r="AG13" s="902">
        <f t="shared" si="1"/>
        <v>0</v>
      </c>
      <c r="AH13" s="902">
        <f t="shared" si="1"/>
        <v>143</v>
      </c>
      <c r="AI13" s="902">
        <f t="shared" si="1"/>
        <v>0</v>
      </c>
      <c r="AJ13" s="902">
        <f t="shared" si="1"/>
        <v>0</v>
      </c>
      <c r="AK13" s="902">
        <f t="shared" si="1"/>
        <v>0</v>
      </c>
      <c r="AL13" s="902">
        <f t="shared" si="1"/>
        <v>0</v>
      </c>
      <c r="AM13" s="902">
        <f t="shared" si="1"/>
        <v>3386</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204</v>
      </c>
      <c r="BD13" s="902">
        <f t="shared" si="1"/>
        <v>386</v>
      </c>
      <c r="BE13" s="902">
        <f t="shared" si="1"/>
        <v>0</v>
      </c>
      <c r="BF13" s="902">
        <f t="shared" si="1"/>
        <v>0</v>
      </c>
      <c r="BG13" s="902">
        <f>IF(ISNUMBER(Datos!K13/Datos!J13),Datos!K13/Datos!J13," - ")</f>
        <v>1.0036144578313253</v>
      </c>
      <c r="BH13" s="906">
        <f>IF(ISNUMBER(((Datos!L13/Datos!K13)*11)/factor_trimestre),((Datos!L13/Datos!K13)*11)/factor_trimestre," - ")</f>
        <v>11.247298919567827</v>
      </c>
      <c r="BI13" s="902">
        <f>IF(ISNUMBER('Resol  Asuntos'!D13/NºAsuntos!G13),'Resol  Asuntos'!D13/NºAsuntos!G13," - ")</f>
        <v>0.22491730981256891</v>
      </c>
      <c r="BJ13" s="902" t="str">
        <f>IF(ISNUMBER(Datos!CI13/Datos!CJ13),Datos!CI13/Datos!CJ13," - ")</f>
        <v xml:space="preserve"> - </v>
      </c>
      <c r="BK13" s="902">
        <f>SUBTOTAL(9,BK8:BK12)</f>
        <v>0</v>
      </c>
      <c r="BL13" s="902">
        <f>IF(ISNUMBER((I13-AB13+L13)/(F13)),(I13-AB13+L13)/(F13)," - ")</f>
        <v>-0.11764705882352941</v>
      </c>
      <c r="BM13" s="907">
        <f>SUBTOTAL(9,BM9:BM12)</f>
        <v>0.21137327951981785</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3</v>
      </c>
      <c r="B16" s="597" t="s">
        <v>400</v>
      </c>
      <c r="C16" s="603" t="str">
        <f>Datos!A16</f>
        <v xml:space="preserve">Jdos. 1ª Instª. e Instr.                        </v>
      </c>
      <c r="D16" s="604"/>
      <c r="E16" s="1168">
        <f>IF(ISNUMBER(Datos!AQ16),Datos!AQ16," - ")</f>
        <v>3</v>
      </c>
      <c r="F16" s="598">
        <f>IF(ISNUMBER(AF16+AB16-Datos!J16-L16),AF16+AB16-Datos!J16-L16," - ")</f>
        <v>1367</v>
      </c>
      <c r="G16" s="601">
        <f>IF(ISNUMBER(IF(D_I="SI",Datos!I16,Datos!I16+Datos!AC16)),IF(D_I="SI",Datos!I16,Datos!I16+Datos!AC16)," - ")</f>
        <v>1367</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5</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663</v>
      </c>
      <c r="AC16" s="229">
        <f>IF(ISNUMBER(Datos!Q16),Datos!Q16," - ")</f>
        <v>10</v>
      </c>
      <c r="AD16" s="337"/>
      <c r="AE16" s="487"/>
      <c r="AF16" s="599">
        <f>IF(ISNUMBER(IF(D_I="SI",Datos!L16,Datos!L16+Datos!AF16)),IF(D_I="SI",Datos!L16,Datos!L16+Datos!AF16)," - ")</f>
        <v>1703</v>
      </c>
      <c r="AG16" s="337"/>
      <c r="AH16" s="337"/>
      <c r="AI16" s="337"/>
      <c r="AJ16" s="337"/>
      <c r="AK16" s="337"/>
      <c r="AL16" s="482"/>
      <c r="AM16" s="338">
        <f>IF(ISNUMBER(Datos!R16),Datos!R16," - ")</f>
        <v>77</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64</v>
      </c>
      <c r="BD16" s="232">
        <f>IF(ISNUMBER(Datos!N16),Datos!N16," - ")</f>
        <v>470</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0.66366366366366369</v>
      </c>
      <c r="BH16" s="263">
        <f>IF(ISNUMBER(((IF(D_I="SI",Datos!L16/Datos!K16,(Datos!L16+Datos!AF16)/(Datos!K16+Datos!AE16)))*11)/factor_trimestre),((IF(D_I="SI",Datos!L16/Datos!K16,(Datos!L16+Datos!AF16)/(Datos!K16+Datos!AE16)))*11)/factor_trimestre," - ")</f>
        <v>7.7058823529411775</v>
      </c>
      <c r="BI16" s="246">
        <f>IF(ISNUMBER('Resol  Asuntos'!D16/NºAsuntos!G16),'Resol  Asuntos'!D16/NºAsuntos!G16," - ")</f>
        <v>9.6530920060331829E-2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293</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68</v>
      </c>
      <c r="AC17" s="229">
        <f>IF(ISNUMBER(Datos!Q17),Datos!Q17," - ")</f>
        <v>0</v>
      </c>
      <c r="AD17" s="337"/>
      <c r="AE17" s="487"/>
      <c r="AF17" s="335">
        <f>IF(ISNUMBER(Datos!L17),Datos!L17,"-")</f>
        <v>288</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3</v>
      </c>
      <c r="BD17" s="232">
        <f>IF(ISNUMBER(Datos!N17),Datos!N17," - ")</f>
        <v>26</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1.0793650793650793</v>
      </c>
      <c r="BH17" s="263">
        <f>IF(ISNUMBER(((IF(D_I="SI",Datos!L17/Datos!K17,(Datos!L17+Datos!AF17)/(Datos!K17+Datos!AE17)))*11)/factor_trimestre),((IF(D_I="SI",Datos!L17/Datos!K17,(Datos!L17+Datos!AF17)/(Datos!K17+Datos!AE17)))*11)/factor_trimestre," - ")</f>
        <v>12.705882352941176</v>
      </c>
      <c r="BI17" s="246">
        <f>IF(ISNUMBER('Resol  Asuntos'!D17/NºAsuntos!G17),'Resol  Asuntos'!D17/NºAsuntos!G17," - ")</f>
        <v>4.4117647058823532E-2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3</v>
      </c>
      <c r="F18" s="901">
        <f>SUBTOTAL(9,F15:F17)</f>
        <v>1367</v>
      </c>
      <c r="G18" s="901">
        <f>SUBTOTAL(9,G15:G17)</f>
        <v>1660</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5</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731</v>
      </c>
      <c r="AC18" s="902">
        <f t="shared" si="4"/>
        <v>10</v>
      </c>
      <c r="AD18" s="902">
        <f t="shared" si="4"/>
        <v>0</v>
      </c>
      <c r="AE18" s="902">
        <f t="shared" si="4"/>
        <v>0</v>
      </c>
      <c r="AF18" s="902">
        <f t="shared" si="4"/>
        <v>1991</v>
      </c>
      <c r="AG18" s="902">
        <f t="shared" si="4"/>
        <v>0</v>
      </c>
      <c r="AH18" s="902">
        <f t="shared" si="4"/>
        <v>0</v>
      </c>
      <c r="AI18" s="902">
        <f t="shared" si="4"/>
        <v>0</v>
      </c>
      <c r="AJ18" s="902">
        <f t="shared" si="4"/>
        <v>0</v>
      </c>
      <c r="AK18" s="902">
        <f t="shared" si="4"/>
        <v>0</v>
      </c>
      <c r="AL18" s="902">
        <f t="shared" si="4"/>
        <v>0</v>
      </c>
      <c r="AM18" s="902">
        <f t="shared" si="4"/>
        <v>77</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67</v>
      </c>
      <c r="BD18" s="902">
        <f t="shared" si="4"/>
        <v>496</v>
      </c>
      <c r="BE18" s="902">
        <f t="shared" si="4"/>
        <v>0</v>
      </c>
      <c r="BF18" s="902">
        <f t="shared" si="4"/>
        <v>0</v>
      </c>
      <c r="BG18" s="902">
        <f>IF(ISNUMBER(Datos!K18/Datos!J18),Datos!K18/Datos!J18," - ")</f>
        <v>0.68832391713747643</v>
      </c>
      <c r="BH18" s="906">
        <f>IF(ISNUMBER(((Datos!L18/Datos!K18)*11)/factor_trimestre),((Datos!L18/Datos!K18)*11)/factor_trimestre," - ")</f>
        <v>8.170998632010944</v>
      </c>
      <c r="BI18" s="902">
        <f>SUBTOTAL(9,BI15:BI17)</f>
        <v>0.14064856711915535</v>
      </c>
      <c r="BJ18" s="902">
        <f>SUBTOTAL(9,BJ15:BJ17)</f>
        <v>0</v>
      </c>
      <c r="BK18" s="902">
        <f>SUBTOTAL(9,BK15:BK17)</f>
        <v>0</v>
      </c>
      <c r="BL18" s="902">
        <f>IF(ISNUMBER((I18-AB18+L18)/(F18)),(I18-AB18+L18)/(F18)," - ")</f>
        <v>-0.53474762253108998</v>
      </c>
      <c r="BM18" s="908">
        <f>IF(ISNUMBER((Datos!P18-Datos!Q18)/(Datos!R18-Datos!P18+Datos!Q18)),(Datos!P18-Datos!Q18)/(Datos!R18-Datos!P18+Datos!Q18)," - ")</f>
        <v>-6.097560975609756E-2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6</v>
      </c>
      <c r="F19" s="823">
        <f t="shared" si="6"/>
        <v>1401</v>
      </c>
      <c r="G19" s="823">
        <f t="shared" si="6"/>
        <v>1694</v>
      </c>
      <c r="H19" s="825">
        <f t="shared" si="6"/>
        <v>0</v>
      </c>
      <c r="I19" s="823">
        <f t="shared" si="6"/>
        <v>0</v>
      </c>
      <c r="J19" s="825">
        <f t="shared" si="6"/>
        <v>0</v>
      </c>
      <c r="K19" s="825">
        <f t="shared" si="6"/>
        <v>0</v>
      </c>
      <c r="L19" s="884">
        <f t="shared" si="6"/>
        <v>0</v>
      </c>
      <c r="M19" s="884">
        <f t="shared" si="6"/>
        <v>0</v>
      </c>
      <c r="N19" s="884">
        <f t="shared" si="6"/>
        <v>42</v>
      </c>
      <c r="O19" s="884">
        <f t="shared" si="6"/>
        <v>0</v>
      </c>
      <c r="P19" s="884">
        <f t="shared" si="6"/>
        <v>0</v>
      </c>
      <c r="Q19" s="825">
        <f t="shared" si="6"/>
        <v>236</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735</v>
      </c>
      <c r="AC19" s="824">
        <f t="shared" si="7"/>
        <v>94</v>
      </c>
      <c r="AD19" s="824">
        <f t="shared" si="7"/>
        <v>0</v>
      </c>
      <c r="AE19" s="824">
        <f t="shared" si="7"/>
        <v>0</v>
      </c>
      <c r="AF19" s="831">
        <f t="shared" si="7"/>
        <v>2026</v>
      </c>
      <c r="AG19" s="831">
        <f t="shared" si="7"/>
        <v>0</v>
      </c>
      <c r="AH19" s="831">
        <f t="shared" si="7"/>
        <v>143</v>
      </c>
      <c r="AI19" s="831">
        <f t="shared" si="7"/>
        <v>0</v>
      </c>
      <c r="AJ19" s="824">
        <f t="shared" si="7"/>
        <v>0</v>
      </c>
      <c r="AK19" s="831">
        <f t="shared" si="7"/>
        <v>0</v>
      </c>
      <c r="AL19" s="831">
        <f t="shared" si="7"/>
        <v>0</v>
      </c>
      <c r="AM19" s="831">
        <f t="shared" si="7"/>
        <v>3463</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271</v>
      </c>
      <c r="BD19" s="823">
        <f t="shared" si="7"/>
        <v>882</v>
      </c>
      <c r="BE19" s="823">
        <f t="shared" si="7"/>
        <v>0</v>
      </c>
      <c r="BF19" s="833">
        <f t="shared" si="7"/>
        <v>0</v>
      </c>
      <c r="BG19" s="918">
        <f>IF(ISNUMBER(Datos!K19/Datos!J19),Datos!K19/Datos!J19," - ")</f>
        <v>0.82663847780126853</v>
      </c>
      <c r="BH19" s="918">
        <f>IF(ISNUMBER(((Datos!L19/Datos!K19)*11)/factor_trimestre),((Datos!L19/Datos!K19)*11)/factor_trimestre," - ")</f>
        <v>9.8094629156010225</v>
      </c>
      <c r="BI19" s="816">
        <f>IF(ISNUMBER(Datos!J19/Datos!I19),Datos!J19/Datos!I19," - ")</f>
        <v>0.39531968240702048</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-0.52462526766595285</v>
      </c>
      <c r="BM19" s="892">
        <f>IF(ISNUMBER((Datos!P19-Datos!Q19+R19)/(Datos!R19-Datos!P19+Datos!Q19-R19)),(Datos!P19-Datos!Q19+R19)/(Datos!R19-Datos!P19+Datos!Q19-R19)," - ")</f>
        <v>4.2758205359831374E-2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677.6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1.5811388300841898</v>
      </c>
      <c r="F21" s="554">
        <f>IF(ISNUMBER(STDEV(F8:F18)),STDEV(F8:F18),"-")</f>
        <v>769.60790882977119</v>
      </c>
      <c r="G21" s="555">
        <f>IF(ISNUMBER(STDEV(G8:G18)),STDEV(G8:G18),"-")</f>
        <v>777.29357388312428</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369.59640149763362</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92.151324823176935</v>
      </c>
      <c r="BD21" s="554"/>
      <c r="BE21" s="554">
        <f>IF(ISNUMBER(STDEV(BE8:BE18)),STDEV(BE8:BE18),"-")</f>
        <v>0</v>
      </c>
      <c r="BF21" s="559">
        <f>IF(ISNUMBER(STDEV(BF8:BF18)),STDEV(BF8:BF18),"-")</f>
        <v>0</v>
      </c>
      <c r="BG21" s="778">
        <f>IF(ISNUMBER(STDEV(BG8:BG18)),STDEV(BG8:BG18),"-")</f>
        <v>0.18496246193256621</v>
      </c>
      <c r="BH21" s="779">
        <f>IF(ISNUMBER(STDEV(BH8:BH18)),STDEV(BH8:BH18),"-")</f>
        <v>6.8551782336867442</v>
      </c>
      <c r="BI21" s="252">
        <f>IF(ISNUMBER(STDEV(BI8:BI18)),STDEV(BI8:BI18),"-")</f>
        <v>7.6531333788325981E-2</v>
      </c>
      <c r="BJ21" s="233" t="str">
        <f>IF(ISNUMBER(BL21/BM21),BL21/BM21," - ")</f>
        <v xml:space="preserve"> - </v>
      </c>
      <c r="BK21" s="578"/>
      <c r="BL21" s="562">
        <f>IF(ISNUMBER(STDEV(BL8:BL18)),STDEV(BL8:BL18),"-")</f>
        <v>0.29493463703434758</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ytpcoibQ3uvnNZrlqSTTMMs75uhgMov/KV7dZjNBPQ5opZ79OdacmEltTzG1pchrndxzeDZkSs2CDuATl2wtJw==" saltValue="s7s1EWnl0nWB/W9zx4IXV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CATALUÑA</v>
      </c>
    </row>
    <row r="2" spans="1:73" ht="16.5" customHeight="1">
      <c r="C2" s="531" t="str">
        <f>Criterios!A10 &amp;"  "&amp;Criterios!B10 &amp; "  " &amp; IF(NOT(ISBLANK(Criterios!A11)),Criterios!A11 &amp;"  "&amp;Criterios!B11,"")</f>
        <v>Provincias  TARRAGONA  Resumenes por Partidos Judiciales  VALLS</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34</v>
      </c>
      <c r="G10" s="228">
        <f>IF(ISNUMBER(Datos!I10),Datos!I10," - ")</f>
        <v>34</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3</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4</v>
      </c>
      <c r="Z10" s="622">
        <f>IF(ISNUMBER(Datos!Q10),Datos!Q10," - ")</f>
        <v>0</v>
      </c>
      <c r="AA10" s="335">
        <f>IF(ISNUMBER(Datos!L10),Datos!L10,"-")</f>
        <v>35</v>
      </c>
      <c r="AB10" s="337"/>
      <c r="AC10" s="337"/>
      <c r="AD10" s="487"/>
      <c r="AE10" s="487">
        <f>IF(ISNUMBER(Datos!R10),Datos!R10," - ")</f>
        <v>21</v>
      </c>
      <c r="AF10" s="232" t="str">
        <f>IF(ISNUMBER(Datos!BV10),Datos!BV10," - ")</f>
        <v xml:space="preserve"> - </v>
      </c>
      <c r="AG10" s="228" t="str">
        <f>IF(ISNUMBER(Datos!DV10),Datos!DV10," - ")</f>
        <v xml:space="preserve"> - </v>
      </c>
      <c r="AH10" s="301"/>
      <c r="AI10" s="230"/>
      <c r="AJ10" s="228">
        <f>IF(ISNUMBER(Datos!M10),Datos!M10," - ")</f>
        <v>1</v>
      </c>
      <c r="AK10" s="232">
        <f>IF(ISNUMBER(Datos!N10),Datos!N10," - ")</f>
        <v>3</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26.25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0.16666666666666666</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3</v>
      </c>
      <c r="B12" s="510" t="s">
        <v>249</v>
      </c>
      <c r="C12" s="7" t="str">
        <f>Datos!A12</f>
        <v xml:space="preserve">Jdos. 1ª Instª. e Instr.                        </v>
      </c>
      <c r="D12" s="511"/>
      <c r="E12" s="1171">
        <f>IF(ISNUMBER(Datos!AQ12),Datos!AQ12," - ")</f>
        <v>3</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228</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84</v>
      </c>
      <c r="AA12" s="335" t="str">
        <f>IF(ISNUMBER(IF(J_V="SI",Datos!L12,Datos!L12+Datos!AB12)-IF(Monitorios="SI",Datos!CD12,0)),
                          IF(J_V="SI",Datos!L12,Datos!L12+Datos!AB12)-IF(Monitorios="SI",Datos!CD12,0),
                          " - ")</f>
        <v xml:space="preserve"> - </v>
      </c>
      <c r="AB12" s="337"/>
      <c r="AC12" s="337"/>
      <c r="AD12" s="487"/>
      <c r="AE12" s="487">
        <f>IF(ISNUMBER(Datos!R12),Datos!R12," - ")</f>
        <v>3365</v>
      </c>
      <c r="AF12" s="232" t="str">
        <f>IF(ISNUMBER(Datos!BV12),Datos!BV12," - ")</f>
        <v xml:space="preserve"> - </v>
      </c>
      <c r="AG12" s="228" t="str">
        <f>IF(ISNUMBER(Datos!DV12),Datos!DV12," - ")</f>
        <v xml:space="preserve"> - </v>
      </c>
      <c r="AH12" s="301"/>
      <c r="AI12" s="230"/>
      <c r="AJ12" s="228">
        <f>IF(ISNUMBER(Datos!M12),Datos!M12," - ")</f>
        <v>203</v>
      </c>
      <c r="AK12" s="232">
        <f>IF(ISNUMBER(Datos!N12),Datos!N12," - ")</f>
        <v>383</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10.734219269102992</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4.4706612853151195E-2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3</v>
      </c>
      <c r="F13" s="901">
        <f>SUBTOTAL(9,F8:F12)</f>
        <v>34</v>
      </c>
      <c r="G13" s="901">
        <f>SUBTOTAL(9,G8:G12)</f>
        <v>34</v>
      </c>
      <c r="H13" s="911"/>
      <c r="I13" s="901">
        <f t="shared" ref="I13:N13" si="0">SUBTOTAL(9,I8:I12)</f>
        <v>0</v>
      </c>
      <c r="J13" s="870">
        <f t="shared" si="0"/>
        <v>0</v>
      </c>
      <c r="K13" s="911">
        <f t="shared" si="0"/>
        <v>0</v>
      </c>
      <c r="L13" s="911">
        <f t="shared" si="0"/>
        <v>0</v>
      </c>
      <c r="M13" s="911">
        <f t="shared" si="0"/>
        <v>0</v>
      </c>
      <c r="N13" s="911">
        <f t="shared" si="0"/>
        <v>231</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4</v>
      </c>
      <c r="Z13" s="910">
        <f t="shared" si="2"/>
        <v>84</v>
      </c>
      <c r="AA13" s="903">
        <f t="shared" si="2"/>
        <v>35</v>
      </c>
      <c r="AB13" s="903">
        <f t="shared" si="2"/>
        <v>0</v>
      </c>
      <c r="AC13" s="903">
        <f t="shared" si="2"/>
        <v>0</v>
      </c>
      <c r="AD13" s="903">
        <f t="shared" si="2"/>
        <v>0</v>
      </c>
      <c r="AE13" s="903">
        <f t="shared" si="2"/>
        <v>3386</v>
      </c>
      <c r="AF13" s="911">
        <f t="shared" si="2"/>
        <v>0</v>
      </c>
      <c r="AG13" s="911">
        <f t="shared" si="2"/>
        <v>0</v>
      </c>
      <c r="AH13" s="911">
        <f t="shared" si="2"/>
        <v>0</v>
      </c>
      <c r="AI13" s="911">
        <f t="shared" si="2"/>
        <v>0</v>
      </c>
      <c r="AJ13" s="911">
        <f t="shared" si="2"/>
        <v>204</v>
      </c>
      <c r="AK13" s="911">
        <f t="shared" si="2"/>
        <v>386</v>
      </c>
      <c r="AL13" s="911">
        <f t="shared" si="2"/>
        <v>0</v>
      </c>
      <c r="AM13" s="911">
        <f t="shared" si="2"/>
        <v>0</v>
      </c>
      <c r="AN13" s="911">
        <f t="shared" si="2"/>
        <v>0</v>
      </c>
      <c r="AO13" s="907">
        <f>IF(ISNUMBER(((NºAsuntos!I13/NºAsuntos!G13)*11)/factor_trimestre),((NºAsuntos!I13/NºAsuntos!G13)*11)/factor_trimestre," - ")</f>
        <v>10.802646085997797</v>
      </c>
      <c r="AP13" s="913" t="str">
        <f>IF(ISNUMBER(Datos!CI13/Datos!CJ13),Datos!CI13/Datos!CJ13," - ")</f>
        <v xml:space="preserve"> - </v>
      </c>
      <c r="AQ13" s="931">
        <f t="shared" ref="AQ13:AV13" si="3">SUBTOTAL(9,AQ9:AQ12)</f>
        <v>0</v>
      </c>
      <c r="AR13" s="931">
        <f t="shared" si="3"/>
        <v>0.21137327951981785</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3</v>
      </c>
      <c r="B16" s="510" t="s">
        <v>400</v>
      </c>
      <c r="C16" s="163" t="str">
        <f>Datos!A16</f>
        <v xml:space="preserve">Jdos. 1ª Instª. e Instr.                        </v>
      </c>
      <c r="D16" s="505"/>
      <c r="E16" s="1171">
        <f>IF(ISNUMBER(Datos!AQ16),Datos!AQ16," - ")</f>
        <v>3</v>
      </c>
      <c r="F16" s="336">
        <f>IF(ISNUMBER(AA16+Y16-Datos!J16-K15),AA16+Y16-Datos!J16-K15," - ")</f>
        <v>1367</v>
      </c>
      <c r="G16" s="228">
        <f>IF(ISNUMBER(IF(D_I="SI",Datos!I16,Datos!I16+Datos!AC16)),IF(D_I="SI",Datos!I16,Datos!I16+Datos!AC16)," - ")</f>
        <v>1367</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5</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663</v>
      </c>
      <c r="Z16" s="622">
        <f>IF(ISNUMBER(Datos!Q16),Datos!Q16," - ")</f>
        <v>10</v>
      </c>
      <c r="AA16" s="335">
        <f>IF(ISNUMBER(IF(D_I="SI",Datos!L16,Datos!L16+Datos!AF16)),IF(D_I="SI",Datos!L16,Datos!L16+Datos!AF16)," - ")</f>
        <v>1703</v>
      </c>
      <c r="AB16" s="337"/>
      <c r="AC16" s="337"/>
      <c r="AD16" s="487"/>
      <c r="AE16" s="487">
        <f>IF(ISNUMBER(Datos!R16),Datos!R16," - ")</f>
        <v>77</v>
      </c>
      <c r="AF16" s="232" t="str">
        <f>IF(ISNUMBER(Datos!BV16),Datos!BV16," - ")</f>
        <v xml:space="preserve"> - </v>
      </c>
      <c r="AG16" s="228"/>
      <c r="AH16" s="301"/>
      <c r="AI16" s="230"/>
      <c r="AJ16" s="228">
        <f>IF(ISNUMBER(Datos!M16),Datos!M16," - ")</f>
        <v>64</v>
      </c>
      <c r="AK16" s="232">
        <f>IF(ISNUMBER(Datos!N16),Datos!N16," - ")</f>
        <v>470</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7.7058823529411775</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293</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68</v>
      </c>
      <c r="Z17" s="622">
        <f>IF(ISNUMBER(Datos!Q17),Datos!Q17," - ")</f>
        <v>0</v>
      </c>
      <c r="AA17" s="335">
        <f>IF(ISNUMBER(Datos!L17),Datos!L17,"-")</f>
        <v>288</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3</v>
      </c>
      <c r="AK17" s="232">
        <f>IF(ISNUMBER(Datos!N17),Datos!N17," - ")</f>
        <v>26</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12.705882352941176</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3</v>
      </c>
      <c r="F18" s="901">
        <f>SUBTOTAL(9,F15:F17)</f>
        <v>1367</v>
      </c>
      <c r="G18" s="901">
        <f>SUBTOTAL(9,G15:G17)</f>
        <v>1660</v>
      </c>
      <c r="H18" s="935">
        <f>SUBTOTAL(9,H15:H17)</f>
        <v>0</v>
      </c>
      <c r="I18" s="914">
        <f>SUBTOTAL(9,I15:I17)</f>
        <v>0</v>
      </c>
      <c r="J18" s="870">
        <f>SUBTOTAL(9,J14:J17)</f>
        <v>0</v>
      </c>
      <c r="K18" s="935">
        <f t="shared" ref="K18:S18" si="4">SUBTOTAL(9,K15:K17)</f>
        <v>0</v>
      </c>
      <c r="L18" s="935">
        <f t="shared" si="4"/>
        <v>0</v>
      </c>
      <c r="M18" s="935">
        <f t="shared" si="4"/>
        <v>0</v>
      </c>
      <c r="N18" s="935">
        <f t="shared" si="4"/>
        <v>5</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731</v>
      </c>
      <c r="Z18" s="935">
        <f t="shared" si="5"/>
        <v>10</v>
      </c>
      <c r="AA18" s="935">
        <f t="shared" si="5"/>
        <v>1991</v>
      </c>
      <c r="AB18" s="935">
        <f t="shared" si="5"/>
        <v>0</v>
      </c>
      <c r="AC18" s="935">
        <f t="shared" si="5"/>
        <v>0</v>
      </c>
      <c r="AD18" s="935">
        <f t="shared" si="5"/>
        <v>0</v>
      </c>
      <c r="AE18" s="935">
        <f t="shared" si="5"/>
        <v>77</v>
      </c>
      <c r="AF18" s="935">
        <f t="shared" si="5"/>
        <v>0</v>
      </c>
      <c r="AG18" s="935">
        <f t="shared" si="5"/>
        <v>0</v>
      </c>
      <c r="AH18" s="935">
        <f t="shared" si="5"/>
        <v>0</v>
      </c>
      <c r="AI18" s="935">
        <f t="shared" si="5"/>
        <v>0</v>
      </c>
      <c r="AJ18" s="935">
        <f t="shared" si="5"/>
        <v>67</v>
      </c>
      <c r="AK18" s="935">
        <f t="shared" si="5"/>
        <v>496</v>
      </c>
      <c r="AL18" s="935">
        <f t="shared" si="5"/>
        <v>0</v>
      </c>
      <c r="AM18" s="935">
        <f t="shared" si="5"/>
        <v>0</v>
      </c>
      <c r="AN18" s="935">
        <f t="shared" si="5"/>
        <v>0</v>
      </c>
      <c r="AO18" s="937">
        <f>IF(ISNUMBER(((NºAsuntos!I18/NºAsuntos!G18)*11)/factor_trimestre),((NºAsuntos!I18/NºAsuntos!G18)*11)/factor_trimestre," - ")</f>
        <v>8.170998632010944</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6</v>
      </c>
      <c r="F19" s="823">
        <f t="shared" si="7"/>
        <v>1401</v>
      </c>
      <c r="G19" s="823">
        <f t="shared" si="7"/>
        <v>1694</v>
      </c>
      <c r="H19" s="824">
        <f t="shared" si="7"/>
        <v>0</v>
      </c>
      <c r="I19" s="823">
        <f t="shared" si="7"/>
        <v>0</v>
      </c>
      <c r="J19" s="825">
        <f t="shared" si="7"/>
        <v>0</v>
      </c>
      <c r="K19" s="823">
        <f t="shared" si="7"/>
        <v>0</v>
      </c>
      <c r="L19" s="826">
        <f t="shared" si="7"/>
        <v>0</v>
      </c>
      <c r="M19" s="823">
        <f t="shared" si="7"/>
        <v>0</v>
      </c>
      <c r="N19" s="824">
        <f t="shared" si="7"/>
        <v>236</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735</v>
      </c>
      <c r="Z19" s="830">
        <f t="shared" si="8"/>
        <v>94</v>
      </c>
      <c r="AA19" s="831">
        <f t="shared" si="8"/>
        <v>2026</v>
      </c>
      <c r="AB19" s="831">
        <f t="shared" si="8"/>
        <v>0</v>
      </c>
      <c r="AC19" s="831">
        <f t="shared" si="8"/>
        <v>0</v>
      </c>
      <c r="AD19" s="832">
        <f t="shared" si="8"/>
        <v>0</v>
      </c>
      <c r="AE19" s="832">
        <f t="shared" si="8"/>
        <v>3463</v>
      </c>
      <c r="AF19" s="833">
        <f t="shared" si="8"/>
        <v>0</v>
      </c>
      <c r="AG19" s="834">
        <f t="shared" si="8"/>
        <v>0</v>
      </c>
      <c r="AH19" s="835">
        <f t="shared" si="8"/>
        <v>0</v>
      </c>
      <c r="AI19" s="833">
        <f t="shared" si="8"/>
        <v>0</v>
      </c>
      <c r="AJ19" s="823">
        <f t="shared" si="8"/>
        <v>271</v>
      </c>
      <c r="AK19" s="823">
        <f t="shared" si="8"/>
        <v>882</v>
      </c>
      <c r="AL19" s="823">
        <f t="shared" si="8"/>
        <v>0</v>
      </c>
      <c r="AM19" s="836">
        <f t="shared" si="8"/>
        <v>0</v>
      </c>
      <c r="AN19" s="826">
        <f>IF(ISNUMBER(Datos!K19/Datos!J19),Datos!K19/Datos!J19," - ")</f>
        <v>0.82663847780126853</v>
      </c>
      <c r="AO19" s="826">
        <f>IF(ISNUMBER(FIND("06",Criterios!A8,1)),(IF(ISNUMBER(((Datos!R19/Datos!Q19)*11)/factor_trimestre),((Datos!R19/Datos!Q19)*11)/factor_trimestre," - ")),(IF(ISNUMBER(((Datos!L19/Datos!K19)*11)/factor_trimestre),((Datos!L19/Datos!K19)*11)/factor_trimestre," - ")))</f>
        <v>9.8094629156010225</v>
      </c>
      <c r="AP19" s="837" t="str">
        <f>IF(ISNUMBER(Datos!CI19/Datos!CJ19),Datos!CI19/Datos!CJ19," - ")</f>
        <v xml:space="preserve"> - </v>
      </c>
      <c r="AQ19" s="837">
        <f>IF(OR(ISNUMBER(FIND("01",Criterios!A8,1)),ISNUMBER(FIND("02",Criterios!A8,1)),ISNUMBER(FIND("03",Criterios!A8,1)),ISNUMBER(FIND("04",Criterios!A8,1))),(J19-Y19+K19)/(F19-K19),(I19-Y19+K19)/(F19-K19))</f>
        <v>-0.52462526766595285</v>
      </c>
      <c r="AR19" s="837">
        <f>IF(ISNUMBER((Datos!P19-Datos!Q19+O19)/(Datos!R19-Datos!P19+Datos!Q19-O19)),(Datos!P19-Datos!Q19+O19)/(Datos!R19-Datos!P19+Datos!Q19-O19)," - ")</f>
        <v>4.2758205359831374E-2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677.6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769.60790882977119</v>
      </c>
      <c r="G21" s="555">
        <f>IF(ISNUMBER(STDEV(G8:G18)),STDEV(G8:G18),"-")</f>
        <v>777.29357388312428</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92.151324823176935</v>
      </c>
      <c r="AK21" s="255"/>
      <c r="AL21" s="255">
        <f>IF(ISNUMBER(STDEV(AL8:AL18)),STDEV(AL8:AL18),"-")</f>
        <v>0</v>
      </c>
      <c r="AM21" s="257">
        <f>IF(ISNUMBER(STDEV(AM8:AM18)),STDEV(AM8:AM18),"-")</f>
        <v>0</v>
      </c>
      <c r="AN21" s="542">
        <f>IF(ISNUMBER(STDEV(AN8:AN18)),STDEV(AN8:AN18),"-")</f>
        <v>0</v>
      </c>
      <c r="AO21" s="543">
        <f>IF(ISNUMBER(STDEV(AO8:AO18)),STDEV(AO8:AO18),"-")</f>
        <v>6.8777183596599576</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rnjCTxEF3kLNchqujmLkVDGistAJXlNAbK3lpNTd+0Ht2eQuxbn3eeJGrMRDHco6OsV+GmBufQ8XtSZ6SaUxlg==" saltValue="wzMnap3/6GQPM1pA4VtVr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E8/KJeYB0iCetggZ7mwVz/vKnIYIyIRuwCe9BRU5WmaLKLhZW/00CnUeetCzSb2Xcjw4ChYoFCFtqBDjk8MnAA==" saltValue="HC2eMc0MtfeQ6AbaAp7Z7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9p7lEUxJjI/oEXwCPulgOsY2LU/i4gVJzwkOqOff1w1DRQMnmIrKWtlLIuvj7E8q6sSya4A4akukuW0zKJe7/Q==" saltValue="rMlMoctImgxFAFUTcIbfZ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CATALUÑA</v>
      </c>
    </row>
    <row r="2" spans="1:75" ht="16.5" customHeight="1">
      <c r="C2" s="491" t="str">
        <f>Criterios!A10 &amp;"  "&amp;Criterios!B10 &amp; "  " &amp; IF(NOT(ISBLANK(Criterios!A11)),Criterios!A11 &amp;"  "&amp;Criterios!B11,"")</f>
        <v>Provincias  TARRAGONA  Resumenes por Partidos Judiciales  VALLS</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0.22491730981256891</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0.1590405549747031</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OqMBDXGQ4k0+aChEXdl+79eNCqz9ykPggUkDjP6frLctp2wM+y8bzWJyUQjAI5JWolAiswABdFe/V6A0OPTPg==" saltValue="vd9r+MofBjOjSVC3Wyj7Y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1NBTE9txeQfgAJQW9bIkpKBA+aOAFG1riAmc1BqQBz+gTTCPaY5WVTCoUQ4F3eyxAjUOjHv1ORThE7Jc7zu+yg==" saltValue="xQE33MqZrx7xrHyAjSCxk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CATALUÑA</v>
      </c>
      <c r="C2" s="378"/>
      <c r="D2" s="378"/>
      <c r="E2" s="378"/>
      <c r="F2" s="378"/>
    </row>
    <row r="3" spans="1:14" ht="19.5">
      <c r="A3" s="393" t="s">
        <v>115</v>
      </c>
      <c r="B3" s="394" t="str">
        <f>Criterios!A10 &amp;"  "&amp;Criterios!B10</f>
        <v>Provincias  TARRAGONA</v>
      </c>
      <c r="D3" s="378"/>
      <c r="E3" s="378"/>
      <c r="F3" s="378"/>
    </row>
    <row r="4" spans="1:14" ht="13.5" thickBot="1">
      <c r="A4" s="378"/>
      <c r="B4" s="394" t="str">
        <f>Criterios!A11 &amp;"  "&amp;Criterios!B11</f>
        <v>Resumenes por Partidos Judiciales  VALLS</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34</v>
      </c>
      <c r="D10" s="407">
        <f>IF(ISNUMBER(C10/Datos!BH10),C10/Datos!BH10," - ")</f>
        <v>34</v>
      </c>
      <c r="E10" s="406">
        <f>IF(ISNUMBER(Datos!J10),Datos!J10," - ")</f>
        <v>5</v>
      </c>
      <c r="F10" s="407">
        <f>IF(ISNUMBER(E10/B10),E10/B10," - ")</f>
        <v>5</v>
      </c>
      <c r="G10" s="406">
        <f>IF(ISNUMBER(Datos!K10),Datos!K10," - ")</f>
        <v>4</v>
      </c>
      <c r="H10" s="407">
        <f>IF(ISNUMBER(G10/B10),G10/B10," - ")</f>
        <v>4</v>
      </c>
      <c r="I10" s="406">
        <f>IF(ISNUMBER(Datos!L10),Datos!L10," - ")</f>
        <v>35</v>
      </c>
      <c r="J10" s="407">
        <f>IF(ISNUMBER(I10/B10),I10/B10," - ")</f>
        <v>35</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3</v>
      </c>
      <c r="C12" s="406">
        <f>IF(ISNUMBER(IF(J_V="SI",Datos!I12,Datos!I12+Datos!Y12)),IF(J_V="SI",Datos!I12,Datos!I12+Datos!Y12)," - ")</f>
        <v>3267</v>
      </c>
      <c r="D12" s="407">
        <f>IF(ISNUMBER(C12/Datos!BH12),C12/Datos!BH12," - ")</f>
        <v>1089</v>
      </c>
      <c r="E12" s="406">
        <f>IF(ISNUMBER(IF(J_V="SI",Datos!J12,Datos!J12+Datos!Z12)),IF(J_V="SI",Datos!J12,Datos!J12+Datos!Z12)," - ")</f>
        <v>867</v>
      </c>
      <c r="F12" s="407">
        <f>IF(ISNUMBER(E12/B12),E12/B12," - ")</f>
        <v>289</v>
      </c>
      <c r="G12" s="406">
        <f>IF(ISNUMBER(IF(J_V="SI",Datos!K12,Datos!K12+Datos!AA12)),IF(J_V="SI",Datos!K12,Datos!K12+Datos!AA12)," - ")</f>
        <v>903</v>
      </c>
      <c r="H12" s="407">
        <f>IF(ISNUMBER(G12/B12),G12/B12," - ")</f>
        <v>301</v>
      </c>
      <c r="I12" s="406">
        <f>IF(ISNUMBER(IF(J_V="SI",Datos!L12,Datos!L12+Datos!AB12)),IF(J_V="SI",Datos!L12,Datos!L12+Datos!AB12)," - ")</f>
        <v>3231</v>
      </c>
      <c r="J12" s="407">
        <f>IF(ISNUMBER(I12/B12),I12/B12," - ")</f>
        <v>1077</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3</v>
      </c>
      <c r="C13" s="852">
        <f>SUBTOTAL(9,C8:C12)</f>
        <v>3301</v>
      </c>
      <c r="D13" s="853" t="str">
        <f>IF(ISNUMBER(C13/Datos!BI13),C13/Datos!BI13," - ")</f>
        <v xml:space="preserve"> - </v>
      </c>
      <c r="E13" s="852">
        <f>SUBTOTAL(9,E8:E12)</f>
        <v>872</v>
      </c>
      <c r="F13" s="853">
        <f>IF(ISNUMBER(E13/B13),E13/B13," - ")</f>
        <v>290.66666666666669</v>
      </c>
      <c r="G13" s="852">
        <f>SUBTOTAL(9,G8:G12)</f>
        <v>907</v>
      </c>
      <c r="H13" s="853">
        <f>IF(ISNUMBER(G13/B13),G13/B13," - ")</f>
        <v>302.33333333333331</v>
      </c>
      <c r="I13" s="852">
        <f>SUBTOTAL(9,I8:I12)</f>
        <v>3266</v>
      </c>
      <c r="J13" s="853">
        <f>IF(ISNUMBER(I13/B13),I13/B13," - ")</f>
        <v>1088.6666666666667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3</v>
      </c>
      <c r="C16" s="406">
        <f>IF(ISNUMBER(IF(D_I="SI",Datos!I16,Datos!I16+Datos!AC16)),IF(D_I="SI",Datos!I16,Datos!I16+Datos!AC16)," - ")</f>
        <v>1367</v>
      </c>
      <c r="D16" s="407">
        <f>IF(ISNUMBER(C16/Datos!BH16),C16/Datos!BH16," - ")</f>
        <v>455.66666666666669</v>
      </c>
      <c r="E16" s="406">
        <f>IF(ISNUMBER(IF(D_I="SI",Datos!J16,Datos!J16+Datos!AD16)),IF(D_I="SI",Datos!J16,Datos!J16+Datos!AD16)," - ")</f>
        <v>999</v>
      </c>
      <c r="F16" s="407">
        <f>IF(ISNUMBER(E16/B16),E16/B16," - ")</f>
        <v>333</v>
      </c>
      <c r="G16" s="406">
        <f>IF(ISNUMBER(IF(D_I="SI",Datos!K16,Datos!K16+Datos!AE16)),IF(D_I="SI",Datos!K16,Datos!K16+Datos!AE16)," - ")</f>
        <v>663</v>
      </c>
      <c r="H16" s="407">
        <f>IF(ISNUMBER(G16/B16),G16/B16," - ")</f>
        <v>221</v>
      </c>
      <c r="I16" s="406">
        <f>IF(ISNUMBER(IF(D_I="SI",Datos!L16,Datos!L16+Datos!AF16)),IF(D_I="SI",Datos!L16,Datos!L16+Datos!AF16)," - ")</f>
        <v>1703</v>
      </c>
      <c r="J16" s="407">
        <f>IF(ISNUMBER(I16/B16),I16/B16," - ")</f>
        <v>567.66666666666663</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293</v>
      </c>
      <c r="D17" s="407">
        <f>IF(ISNUMBER(C17/Datos!BH17),C17/Datos!BH17," - ")</f>
        <v>293</v>
      </c>
      <c r="E17" s="406">
        <f>IF(ISNUMBER(IF(D_I="SI",Datos!J17,Datos!J17+Datos!AD17)),IF(D_I="SI",Datos!J17,Datos!J17+Datos!AD17)," - ")</f>
        <v>63</v>
      </c>
      <c r="F17" s="407">
        <f>IF(ISNUMBER(E17/B17),E17/B17," - ")</f>
        <v>63</v>
      </c>
      <c r="G17" s="406">
        <f>IF(ISNUMBER(IF(D_I="SI",Datos!K17,Datos!K17+Datos!AE17)),IF(D_I="SI",Datos!K17,Datos!K17+Datos!AE17)," - ")</f>
        <v>68</v>
      </c>
      <c r="H17" s="407">
        <f>IF(ISNUMBER(G17/B17),G17/B17," - ")</f>
        <v>68</v>
      </c>
      <c r="I17" s="406">
        <f>IF(ISNUMBER(IF(D_I="SI",Datos!L17,Datos!L17+Datos!AF17)),IF(D_I="SI",Datos!L17,Datos!L17+Datos!AF17)," - ")</f>
        <v>288</v>
      </c>
      <c r="J17" s="407">
        <f>IF(ISNUMBER(I17/B17),I17/B17," - ")</f>
        <v>288</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3</v>
      </c>
      <c r="C18" s="852">
        <f>SUBTOTAL(9,C14:C17)</f>
        <v>1660</v>
      </c>
      <c r="D18" s="853" t="str">
        <f>IF(ISNUMBER(C18/Datos!BI18),C18/Datos!BI18," - ")</f>
        <v xml:space="preserve"> - </v>
      </c>
      <c r="E18" s="852">
        <f>SUBTOTAL(9,E14:E17)</f>
        <v>1062</v>
      </c>
      <c r="F18" s="853">
        <f>IF(ISNUMBER(E18/B18),E18/B18," - ")</f>
        <v>354</v>
      </c>
      <c r="G18" s="852">
        <f>SUBTOTAL(9,G14:G17)</f>
        <v>731</v>
      </c>
      <c r="H18" s="853">
        <f>IF(ISNUMBER(G18/B18),G18/B18," - ")</f>
        <v>243.66666666666666</v>
      </c>
      <c r="I18" s="852">
        <f>SUBTOTAL(9,I14:I17)</f>
        <v>1991</v>
      </c>
      <c r="J18" s="853">
        <f>IF(ISNUMBER(I18/B18),I18/B18," - ")</f>
        <v>663.66666666666663</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3</v>
      </c>
      <c r="C19" s="797">
        <f>SUBTOTAL(9,C9:C18)</f>
        <v>4961</v>
      </c>
      <c r="D19" s="798" t="str">
        <f>IF(ISNUMBER(C19/Datos!BI19),C19/Datos!BI19," - ")</f>
        <v xml:space="preserve"> - </v>
      </c>
      <c r="E19" s="797">
        <f>SUBTOTAL(9,E9:E18)</f>
        <v>1934</v>
      </c>
      <c r="F19" s="798">
        <f>IF(ISNUMBER(E19/B19),E19/B19," - ")</f>
        <v>644.66666666666663</v>
      </c>
      <c r="G19" s="797">
        <f>SUBTOTAL(9,G9:G18)</f>
        <v>1638</v>
      </c>
      <c r="H19" s="798">
        <f>IF(ISNUMBER(G19/B19),G19/B19," - ")</f>
        <v>546</v>
      </c>
      <c r="I19" s="797">
        <f>SUBTOTAL(9,I9:I18)</f>
        <v>5257</v>
      </c>
      <c r="J19" s="798">
        <f>IF(ISNUMBER(I19/B19),I19/B19," - ")</f>
        <v>1752.3333333333333</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EcBwBSYFtHwo4LfrM0KRcm0hhCV1PPwG2tx5GGOHTc+ud/q+RmIu+7/2QGDpi0tj5U5a03UXFVO1kQ3bsG6i6Q==" saltValue="PpPzLQl96nUG1JTkaJ0oU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CATALUÑA</v>
      </c>
      <c r="W1"/>
      <c r="X1"/>
    </row>
    <row r="2" spans="1:65" ht="16.5" customHeight="1">
      <c r="C2" s="491" t="str">
        <f>Criterios!A10 &amp;"  "&amp;Criterios!B10 &amp; "  " &amp; IF(NOT(ISBLANK(Criterios!A11)),Criterios!A11 &amp;"  "&amp;Criterios!B11,"")</f>
        <v>Provincias  TARRAGONA  Resumenes por Partidos Judiciales  VALLS</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34</v>
      </c>
      <c r="G10" s="687">
        <f>IF(ISNUMBER(Datos!I10),Datos!I10," - ")</f>
        <v>34</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3</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4</v>
      </c>
      <c r="AC10" s="686" t="str">
        <f>IF(ISNUMBER(IF(D_I="SI",DatosP!K17,DatosP!K17+DatosP!AE17)),IF(D_I="SI",DatosP!K17,DatosP!K17+DatosP!AE17)," - ")</f>
        <v xml:space="preserve"> - </v>
      </c>
      <c r="AD10" s="688"/>
      <c r="AE10" s="688"/>
      <c r="AF10" s="691">
        <f>IF(ISNUMBER(Datos!L10),Datos!L10,"-")</f>
        <v>35</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v>
      </c>
      <c r="AM10" s="693">
        <f>IF(ISNUMBER(Datos!N10+DatosP!N17),Datos!N10+DatosP!N17," - ")</f>
        <v>3</v>
      </c>
      <c r="AN10" s="693">
        <f>IF(ISNUMBER(Datos!BW10+DatosP!BW17),Datos!BW10+DatosP!BW17," - ")</f>
        <v>0</v>
      </c>
      <c r="AO10" s="694">
        <f>IF(ISNUMBER(Datos!BX10+DatosP!BX17),Datos!BX10+DatosP!BX17," - ")</f>
        <v>0</v>
      </c>
      <c r="AP10" s="696">
        <f>IF(ISNUMBER(((Datos!L10/Datos!K10)*11)/factor_trimestre),((Datos!L10/Datos!K10)*11)/factor_trimestre," - ")</f>
        <v>26.25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3</v>
      </c>
      <c r="B12" s="510" t="s">
        <v>249</v>
      </c>
      <c r="C12" s="7" t="str">
        <f>Datos!A12</f>
        <v xml:space="preserve">Jdos. 1ª Instª. e Instr.                        </v>
      </c>
      <c r="D12" s="511"/>
      <c r="E12" s="685">
        <f>IF(ISNUMBER(Datos!AQ12),Datos!AQ12," - ")</f>
        <v>3</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228</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84</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3365</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203</v>
      </c>
      <c r="AM12" s="693">
        <f>IF(ISNUMBER(Datos!N12+DatosP!N16),Datos!N12+DatosP!N16," - ")</f>
        <v>383</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10.734219269102992</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4.4706612853151195E-2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3</v>
      </c>
      <c r="F13" s="941">
        <f t="shared" si="0"/>
        <v>34</v>
      </c>
      <c r="G13" s="941">
        <f t="shared" si="0"/>
        <v>34</v>
      </c>
      <c r="H13" s="941">
        <f t="shared" si="0"/>
        <v>0</v>
      </c>
      <c r="I13" s="943">
        <f t="shared" si="0"/>
        <v>0</v>
      </c>
      <c r="J13" s="942">
        <f t="shared" si="0"/>
        <v>0</v>
      </c>
      <c r="K13" s="942">
        <f t="shared" si="0"/>
        <v>0</v>
      </c>
      <c r="L13" s="944">
        <f t="shared" si="0"/>
        <v>0</v>
      </c>
      <c r="M13" s="944">
        <f t="shared" si="0"/>
        <v>0</v>
      </c>
      <c r="N13" s="942">
        <f t="shared" si="0"/>
        <v>231</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4</v>
      </c>
      <c r="AC13" s="942">
        <f t="shared" si="1"/>
        <v>0</v>
      </c>
      <c r="AD13" s="942">
        <f t="shared" si="1"/>
        <v>84</v>
      </c>
      <c r="AE13" s="942">
        <f t="shared" si="1"/>
        <v>0</v>
      </c>
      <c r="AF13" s="942">
        <f t="shared" si="1"/>
        <v>35</v>
      </c>
      <c r="AG13" s="942">
        <f t="shared" si="1"/>
        <v>0</v>
      </c>
      <c r="AH13" s="942">
        <f t="shared" si="1"/>
        <v>3365</v>
      </c>
      <c r="AI13" s="942">
        <f t="shared" si="1"/>
        <v>0</v>
      </c>
      <c r="AJ13" s="942">
        <f t="shared" si="1"/>
        <v>0</v>
      </c>
      <c r="AK13" s="942">
        <f t="shared" si="1"/>
        <v>0</v>
      </c>
      <c r="AL13" s="942">
        <f t="shared" si="1"/>
        <v>204</v>
      </c>
      <c r="AM13" s="942">
        <f t="shared" si="1"/>
        <v>386</v>
      </c>
      <c r="AN13" s="942">
        <f t="shared" si="1"/>
        <v>0</v>
      </c>
      <c r="AO13" s="942">
        <f t="shared" si="1"/>
        <v>0</v>
      </c>
      <c r="AP13" s="947">
        <f>IF(ISNUMBER(((Datos!L13/Datos!K13)*11)/factor_trimestre),((Datos!L13/Datos!K13)*11)/factor_trimestre," - ")</f>
        <v>11.247298919567827</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-0.11764705882352941</v>
      </c>
      <c r="AU13" s="942" t="str">
        <f>IF(ISNUMBER((DatosP!#REF!-DatosP!#REF!+DatosP!#REF!)/(DatosP!#REF!+DatosP!#REF!-DatosP!#REF!-DatosP!#REF!)),(DatosP!#REF!-DatosP!#REF!+DatosP!#REF!)/(DatosP!#REF!+DatosP!#REF!-DatosP!#REF!-DatosP!#REF!)," - ")</f>
        <v xml:space="preserve"> - </v>
      </c>
      <c r="AV13" s="948">
        <f>SUBTOTAL(9,AV9:AV12)</f>
        <v>4.4706612853151195E-2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3</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8.170998632010944</v>
      </c>
      <c r="AQ18" s="947">
        <f>IF(ISNUMBER(((Datos!M18/Datos!L18)*11)/factor_trimestre),((Datos!M18/Datos!L18)*11)/factor_trimestre," - ")</f>
        <v>0.10095429432446007</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-6.097560975609756E-2</v>
      </c>
      <c r="AW18" s="949">
        <f>IF(ISNUMBER((Datos!Q18-Datos!R18)/(Datos!S18-Datos!Q18+Datos!R18)),(Datos!Q18-Datos!R18)/(Datos!S18-Datos!Q18+Datos!R18)," - ")</f>
        <v>-4.4049967126890202E-2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3</v>
      </c>
      <c r="F19" s="954">
        <f t="shared" si="4"/>
        <v>34</v>
      </c>
      <c r="G19" s="954">
        <f t="shared" si="4"/>
        <v>34</v>
      </c>
      <c r="H19" s="954">
        <f t="shared" si="4"/>
        <v>0</v>
      </c>
      <c r="I19" s="955">
        <f t="shared" si="4"/>
        <v>0</v>
      </c>
      <c r="J19" s="956">
        <f t="shared" si="4"/>
        <v>0</v>
      </c>
      <c r="K19" s="956">
        <f t="shared" si="4"/>
        <v>0</v>
      </c>
      <c r="L19" s="956">
        <f t="shared" si="4"/>
        <v>0</v>
      </c>
      <c r="M19" s="956">
        <f t="shared" si="4"/>
        <v>0</v>
      </c>
      <c r="N19" s="955">
        <f t="shared" si="4"/>
        <v>231</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4</v>
      </c>
      <c r="AC19" s="960">
        <f t="shared" si="5"/>
        <v>0</v>
      </c>
      <c r="AD19" s="960">
        <f t="shared" si="5"/>
        <v>84</v>
      </c>
      <c r="AE19" s="960">
        <f t="shared" si="5"/>
        <v>0</v>
      </c>
      <c r="AF19" s="961">
        <f t="shared" si="5"/>
        <v>35</v>
      </c>
      <c r="AG19" s="961">
        <f t="shared" si="5"/>
        <v>0</v>
      </c>
      <c r="AH19" s="961">
        <f t="shared" si="5"/>
        <v>3365</v>
      </c>
      <c r="AI19" s="961">
        <f t="shared" si="5"/>
        <v>0</v>
      </c>
      <c r="AJ19" s="962">
        <f t="shared" si="5"/>
        <v>0</v>
      </c>
      <c r="AK19" s="962">
        <f t="shared" si="5"/>
        <v>0</v>
      </c>
      <c r="AL19" s="954">
        <f t="shared" si="5"/>
        <v>204</v>
      </c>
      <c r="AM19" s="954">
        <f t="shared" si="5"/>
        <v>386</v>
      </c>
      <c r="AN19" s="954">
        <f t="shared" si="5"/>
        <v>0</v>
      </c>
      <c r="AO19" s="954">
        <f t="shared" si="5"/>
        <v>0</v>
      </c>
      <c r="AP19" s="954">
        <f>IF(ISNUMBER(((Datos!L19/Datos!K19)*11)/factor_trimestre),((Datos!L19/Datos!K19)*11)/factor_trimestre," - ")</f>
        <v>9.8094629156010225</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-0.11764705882352941</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4.2758205359831374E-2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22.666666666666668</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1.5491933384829668</v>
      </c>
      <c r="F21" s="739">
        <f>IF(ISNUMBER(STDEV(F8:F18)),STDEV(F8:F18),"-")</f>
        <v>19.629909152447276</v>
      </c>
      <c r="G21" s="740">
        <f>IF(ISNUMBER(STDEV(G8:G18)),STDEV(G8:G18),"-")</f>
        <v>19.629909152447276</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2.3094010767585034</v>
      </c>
      <c r="AC21" s="741">
        <f>IF(ISNUMBER(STDEV(AC8:AC18)),STDEV(AC8:AC18),"-")</f>
        <v>0</v>
      </c>
      <c r="AD21" s="744"/>
      <c r="AE21" s="744"/>
      <c r="AF21" s="744"/>
      <c r="AG21" s="744"/>
      <c r="AH21" s="744"/>
      <c r="AI21" s="744"/>
      <c r="AJ21" s="745">
        <f>IF(ISNUMBER(STDEV(AJ8:AJ18)),STDEV(AJ8:AJ18),"-")</f>
        <v>0</v>
      </c>
      <c r="AK21" s="747"/>
      <c r="AL21" s="739">
        <f>IF(ISNUMBER(STDEV(AL8:AL18)),STDEV(AL8:AL18),"-")</f>
        <v>117.20352668186511</v>
      </c>
      <c r="AM21" s="739"/>
      <c r="AN21" s="739">
        <f>IF(ISNUMBER(STDEV(AN8:AN18)),STDEV(AN8:AN18),"-")</f>
        <v>0</v>
      </c>
      <c r="AO21" s="745">
        <f>IF(ISNUMBER(STDEV(AO8:AO18)),STDEV(AO8:AO18),"-")</f>
        <v>0</v>
      </c>
      <c r="AP21" s="782">
        <f>IF(ISNUMBER(STDEV(AP8:AP18)),STDEV(AP8:AP18),"-")</f>
        <v>8.2106016633130299</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Vv6tmJOPcZmKChgP+TS5kdLBPvzJM8npbbLGIH1n+XCP7+ePH15Qaq6ZCi01Mg7oRp+8mPh1GZo0XznsgNoovw==" saltValue="acBovpB7NQ9oyDOuUHBOo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CATALUÑA</v>
      </c>
      <c r="C2" s="378"/>
      <c r="E2" s="378"/>
      <c r="F2" s="378"/>
      <c r="G2" s="378"/>
      <c r="H2" s="378"/>
    </row>
    <row r="3" spans="1:15" ht="39">
      <c r="A3" s="418" t="s">
        <v>221</v>
      </c>
      <c r="B3" s="394" t="str">
        <f>Criterios!A10 &amp;"  "&amp;Criterios!B10</f>
        <v>Provincias  TARRAGONA</v>
      </c>
      <c r="C3" s="418"/>
      <c r="F3" s="378"/>
      <c r="G3" s="378"/>
      <c r="H3" s="378"/>
    </row>
    <row r="4" spans="1:15" ht="13.5" thickBot="1">
      <c r="A4" s="378"/>
      <c r="B4" s="394" t="str">
        <f>Criterios!A11 &amp;"  "&amp;Criterios!B11</f>
        <v>Resumenes por Partidos Judiciales  VALLS</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3</v>
      </c>
      <c r="D12" s="406">
        <f>Datos!BK12</f>
        <v>0</v>
      </c>
      <c r="E12" s="406">
        <f>Datos!AQ12</f>
        <v>3</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3</v>
      </c>
      <c r="D16" s="406">
        <f>Datos!BK16</f>
        <v>0</v>
      </c>
      <c r="E16" s="406">
        <f>Datos!AQ16</f>
        <v>3</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yKRqxgmZ/M9BrY8hAqYnqYPX5tpD8E5CGllGLaIWPOYjt4LrhOfbDt1rnmC30VjtTr5cYxXbLDApXj4dCos8sw==" saltValue="coXaBQ5gUEhEwCOlDrS+8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CATALUÑA</v>
      </c>
      <c r="C2" s="394"/>
    </row>
    <row r="3" spans="1:9" ht="19.5">
      <c r="A3" s="428" t="s">
        <v>11</v>
      </c>
      <c r="B3" s="394" t="str">
        <f>Criterios!A10 &amp;"  "&amp;Criterios!B10</f>
        <v>Provincias  TARRAGONA</v>
      </c>
      <c r="C3" s="394"/>
      <c r="D3" s="428"/>
    </row>
    <row r="4" spans="1:9" ht="13.5" thickBot="1">
      <c r="B4" s="394" t="str">
        <f>Criterios!A11 &amp;"  "&amp;Criterios!B11</f>
        <v>Resumenes por Partidos Judiciales  VALLS</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v>
      </c>
      <c r="E10" s="407">
        <f>IF(ISNUMBER(D10/B10),D10/B10," - ")</f>
        <v>1</v>
      </c>
      <c r="F10" s="406">
        <f>IF(ISNUMBER(Datos!N10),Datos!N10," - ")</f>
        <v>3</v>
      </c>
      <c r="G10" s="407">
        <f>IF(ISNUMBER(F10/B10),F10/B10," - ")</f>
        <v>3</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3</v>
      </c>
      <c r="C12" s="413">
        <f>Datos!AQ12</f>
        <v>3</v>
      </c>
      <c r="D12" s="406">
        <f>IF(ISNUMBER(Datos!M12),Datos!M12," - ")</f>
        <v>203</v>
      </c>
      <c r="E12" s="407">
        <f t="shared" si="0"/>
        <v>67.666666666666671</v>
      </c>
      <c r="F12" s="406">
        <f>IF(ISNUMBER(Datos!N12),Datos!N12," - ")</f>
        <v>383</v>
      </c>
      <c r="G12" s="407">
        <f t="shared" si="1"/>
        <v>127.66666666666667</v>
      </c>
      <c r="H12" s="406">
        <f>IF(ISNUMBER(Datos!O12),Datos!O12," - ")</f>
        <v>215</v>
      </c>
      <c r="I12" s="407">
        <f t="shared" si="2"/>
        <v>71.666666666666671</v>
      </c>
    </row>
    <row r="13" spans="1:9" ht="14.25" thickTop="1" thickBot="1">
      <c r="A13" s="851" t="str">
        <f>Datos!A13</f>
        <v>TOTAL</v>
      </c>
      <c r="B13" s="852">
        <f>Datos!AO13</f>
        <v>4</v>
      </c>
      <c r="C13" s="854">
        <f>Datos!AR13</f>
        <v>3</v>
      </c>
      <c r="D13" s="852">
        <f>SUBTOTAL(9,D9:D12)</f>
        <v>204</v>
      </c>
      <c r="E13" s="853">
        <f t="shared" si="0"/>
        <v>51</v>
      </c>
      <c r="F13" s="852">
        <f>SUBTOTAL(9,F9:F12)</f>
        <v>386</v>
      </c>
      <c r="G13" s="853">
        <f t="shared" si="1"/>
        <v>96.5</v>
      </c>
      <c r="H13" s="852">
        <f>SUBTOTAL(9,H9:H12)</f>
        <v>215</v>
      </c>
      <c r="I13" s="853">
        <f>IF(ISNUMBER(H13/B13),H13/B13," - ")</f>
        <v>53.75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3</v>
      </c>
      <c r="C16" s="431">
        <f>Datos!AQ16</f>
        <v>3</v>
      </c>
      <c r="D16" s="406">
        <f>IF(ISNUMBER(Datos!M16),Datos!M16," - ")</f>
        <v>64</v>
      </c>
      <c r="E16" s="407">
        <f t="shared" si="3"/>
        <v>21.333333333333332</v>
      </c>
      <c r="F16" s="406">
        <f>IF(ISNUMBER(Datos!N16),Datos!N16," - ")</f>
        <v>470</v>
      </c>
      <c r="G16" s="407">
        <f t="shared" si="4"/>
        <v>156.66666666666666</v>
      </c>
      <c r="H16" s="406">
        <f>IF(ISNUMBER(Datos!O16),Datos!O16," - ")</f>
        <v>4</v>
      </c>
      <c r="I16" s="407">
        <f t="shared" si="5"/>
        <v>1.3333333333333333</v>
      </c>
    </row>
    <row r="17" spans="1:9" ht="13.5" thickBot="1">
      <c r="A17" s="405" t="str">
        <f>Datos!A17</f>
        <v>Jdos. Violencia contra la mujer</v>
      </c>
      <c r="B17" s="430">
        <f>Datos!AO17</f>
        <v>1</v>
      </c>
      <c r="C17" s="431">
        <f>Datos!AQ17</f>
        <v>0</v>
      </c>
      <c r="D17" s="406">
        <f>IF(ISNUMBER(Datos!M17),Datos!M17," - ")</f>
        <v>3</v>
      </c>
      <c r="E17" s="407">
        <f>IF(ISNUMBER(D17/B17),D17/B17," - ")</f>
        <v>3</v>
      </c>
      <c r="F17" s="406">
        <f>IF(ISNUMBER(Datos!N17),Datos!N17," - ")</f>
        <v>26</v>
      </c>
      <c r="G17" s="407">
        <f>IF(ISNUMBER(F17/B17),F17/B17," - ")</f>
        <v>26</v>
      </c>
      <c r="H17" s="406">
        <f>IF(ISNUMBER(Datos!O17),Datos!O17," - ")</f>
        <v>0</v>
      </c>
      <c r="I17" s="407">
        <f t="shared" si="5"/>
        <v>0</v>
      </c>
    </row>
    <row r="18" spans="1:9" ht="14.25" thickTop="1" thickBot="1">
      <c r="A18" s="851" t="str">
        <f>Datos!A18</f>
        <v>TOTAL</v>
      </c>
      <c r="B18" s="852">
        <f>Datos!AO18</f>
        <v>4</v>
      </c>
      <c r="C18" s="854">
        <f>Datos!AR18</f>
        <v>3</v>
      </c>
      <c r="D18" s="852">
        <f>SUBTOTAL(9,D15:D17)</f>
        <v>67</v>
      </c>
      <c r="E18" s="853">
        <f t="shared" si="3"/>
        <v>16.75</v>
      </c>
      <c r="F18" s="852">
        <f>SUBTOTAL(9,F15:F17)</f>
        <v>496</v>
      </c>
      <c r="G18" s="853">
        <f t="shared" si="4"/>
        <v>124</v>
      </c>
      <c r="H18" s="852">
        <f>SUBTOTAL(9,H15:H17)</f>
        <v>4</v>
      </c>
      <c r="I18" s="853">
        <f>IF(ISNUMBER(H18/B18),H18/B18," - ")</f>
        <v>1</v>
      </c>
    </row>
    <row r="19" spans="1:9" ht="14.25" thickTop="1" thickBot="1">
      <c r="A19" s="796" t="str">
        <f>Datos!A19</f>
        <v>TOTAL JURISDICCIONES</v>
      </c>
      <c r="B19" s="797">
        <f>Datos!AP19</f>
        <v>3</v>
      </c>
      <c r="C19" s="797">
        <f>Datos!AR19</f>
        <v>3</v>
      </c>
      <c r="D19" s="797">
        <f>SUBTOTAL(9,D8:D18)</f>
        <v>271</v>
      </c>
      <c r="E19" s="798">
        <f>IF(ISNUMBER(D19/B19),D19/B19," - ")</f>
        <v>90.333333333333329</v>
      </c>
      <c r="F19" s="797">
        <f>SUBTOTAL(9,F8:F18)</f>
        <v>882</v>
      </c>
      <c r="G19" s="798">
        <f>IF(ISNUMBER(F19/B19),F19/B19," - ")</f>
        <v>294</v>
      </c>
      <c r="H19" s="797">
        <f>SUBTOTAL(9,H8:H18)</f>
        <v>219</v>
      </c>
      <c r="I19" s="798">
        <f>IF(ISNUMBER(H19/B19),H19/B19," - ")</f>
        <v>73</v>
      </c>
    </row>
    <row r="22" spans="1:9">
      <c r="A22" s="394" t="str">
        <f>Criterios!A4</f>
        <v>Fecha Informe: 07 mar. 2024</v>
      </c>
    </row>
    <row r="27" spans="1:9">
      <c r="A27" s="417"/>
    </row>
  </sheetData>
  <sheetProtection algorithmName="SHA-512" hashValue="hF5mzcpUo0aRIH+5B7HPKw3uWH+f9AVtzfR/M9LmXtktySzK2+6VfNZ10NLreOJKTesQvvjJrGSm38IpK9iIXg==" saltValue="5uDCu2cDkguDn0UPaozZz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CATALUÑA</v>
      </c>
    </row>
    <row r="3" spans="1:4" ht="19.5">
      <c r="A3" s="432" t="s">
        <v>32</v>
      </c>
      <c r="B3" s="394" t="str">
        <f>Criterios!A10 &amp;"  "&amp;Criterios!B10</f>
        <v>Provincias  TARRAGONA</v>
      </c>
    </row>
    <row r="4" spans="1:4" ht="13.5" thickBot="1">
      <c r="B4" s="394" t="str">
        <f>Criterios!A11 &amp;"  "&amp;Criterios!B11</f>
        <v>Resumenes por Partidos Judiciales  VALLS</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3</v>
      </c>
      <c r="C10" s="437">
        <f>IF(ISNUMBER(Datos!Q10),Datos!Q10," - ")</f>
        <v>0</v>
      </c>
      <c r="D10" s="411">
        <f>IF(ISNUMBER(Datos!R10),Datos!R10," - ")</f>
        <v>21</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228</v>
      </c>
      <c r="C12" s="437">
        <f>IF(ISNUMBER(Datos!Q12),Datos!Q12," - ")</f>
        <v>84</v>
      </c>
      <c r="D12" s="411">
        <f>IF(ISNUMBER(Datos!R12),Datos!R12," - ")</f>
        <v>3365</v>
      </c>
    </row>
    <row r="13" spans="1:4" ht="14.25" thickTop="1" thickBot="1">
      <c r="A13" s="851" t="str">
        <f>Datos!A13</f>
        <v>TOTAL</v>
      </c>
      <c r="B13" s="852">
        <f>SUBTOTAL(9,B9:B12)</f>
        <v>231</v>
      </c>
      <c r="C13" s="856">
        <f>SUBTOTAL(9,C9:C12)</f>
        <v>84</v>
      </c>
      <c r="D13" s="854">
        <f>SUBTOTAL(9,D9:D12)</f>
        <v>3386</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5</v>
      </c>
      <c r="C16" s="437">
        <f>IF(ISNUMBER(Datos!Q16),Datos!Q16," - ")</f>
        <v>10</v>
      </c>
      <c r="D16" s="411">
        <f>IF(ISNUMBER(Datos!R16),Datos!R16," - ")</f>
        <v>77</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5</v>
      </c>
      <c r="C18" s="856">
        <f>SUBTOTAL(9,C15:C17)</f>
        <v>10</v>
      </c>
      <c r="D18" s="854">
        <f>SUBTOTAL(9,D15:D17)</f>
        <v>77</v>
      </c>
    </row>
    <row r="19" spans="1:4" ht="16.5" customHeight="1" thickTop="1" thickBot="1">
      <c r="A19" s="796" t="str">
        <f>Datos!A19</f>
        <v>TOTAL JURISDICCIONES</v>
      </c>
      <c r="B19" s="801">
        <f>SUBTOTAL(9,B8:B18)</f>
        <v>236</v>
      </c>
      <c r="C19" s="802">
        <f>SUBTOTAL(9,C8:C18)</f>
        <v>94</v>
      </c>
      <c r="D19" s="803">
        <f>SUBTOTAL(9,D8:D18)</f>
        <v>3463</v>
      </c>
    </row>
    <row r="20" spans="1:4" ht="7.5" customHeight="1"/>
    <row r="21" spans="1:4" ht="6" customHeight="1"/>
    <row r="22" spans="1:4">
      <c r="A22" s="394" t="str">
        <f>Criterios!A4</f>
        <v>Fecha Informe: 07 mar. 2024</v>
      </c>
    </row>
    <row r="27" spans="1:4">
      <c r="A27" s="417"/>
    </row>
  </sheetData>
  <sheetProtection algorithmName="SHA-512" hashValue="XK1YSODVh64X4dfcqGQE5cJ0E7RWFS89pU614QDRV8X1mqysqJUZfJblgMDgWJBSdTH7Vq6ElULV1XwqCkRcuA==" saltValue="LJPVnuq5vpz8+x4EerApY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CATALUÑA</v>
      </c>
    </row>
    <row r="3" spans="1:11" ht="18.75" customHeight="1">
      <c r="A3" s="432" t="s">
        <v>118</v>
      </c>
      <c r="B3" s="394" t="str">
        <f>Criterios!A10 &amp;"  "&amp;Criterios!B10</f>
        <v>Provincias  TARRAGONA</v>
      </c>
    </row>
    <row r="4" spans="1:11" ht="10.5" customHeight="1" thickBot="1">
      <c r="B4" s="394" t="str">
        <f>Criterios!A11 &amp;"  "&amp;Criterios!B11</f>
        <v>Resumenes por Partidos Judiciales  VALLS</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-0.22727272727272727</v>
      </c>
      <c r="C10" s="459">
        <f>IF(ISNUMBER((Datos!J10-Datos!T10)/Datos!T10),(Datos!J10-Datos!T10)/Datos!T10," - ")</f>
        <v>-0.44444444444444442</v>
      </c>
      <c r="D10" s="459">
        <f>IF(ISNUMBER((Datos!K10-Datos!U10)/Datos!U10),(Datos!K10-Datos!U10)/Datos!U10," - ")</f>
        <v>-0.6</v>
      </c>
      <c r="E10" s="459">
        <f>IF(ISNUMBER((Datos!L10-Datos!V10)/Datos!V10),(Datos!L10-Datos!V10)/Datos!V10," - ")</f>
        <v>-0.18604651162790697</v>
      </c>
      <c r="F10" s="459">
        <f>IF(ISNUMBER((Datos!M10-Datos!W10)/Datos!W10),(Datos!M10-Datos!W10)/Datos!W10," - ")</f>
        <v>-0.75</v>
      </c>
      <c r="G10" s="460">
        <f>IF(ISNUMBER((Datos!N10-Datos!X10)/Datos!X10),(Datos!N10-Datos!X10)/Datos!X10," - ")</f>
        <v>-0.4</v>
      </c>
      <c r="H10" s="458">
        <f>IF(ISNUMBER(((NºAsuntos!G10/NºAsuntos!E10)-Datos!BD10)/Datos!BD10),((NºAsuntos!G10/NºAsuntos!E10)-Datos!BD10)/Datos!BD10," - ")</f>
        <v>-0.27999999999999997</v>
      </c>
      <c r="I10" s="459">
        <f>IF(ISNUMBER(((NºAsuntos!I10/NºAsuntos!G10)-Datos!BE10)/Datos!BE10),((NºAsuntos!I10/NºAsuntos!G10)-Datos!BE10)/Datos!BE10," - ")</f>
        <v>1.0348837209302326</v>
      </c>
      <c r="J10" s="464">
        <f>IF(ISNUMBER((('Resol  Asuntos'!D10/NºAsuntos!G10)-Datos!BF10)/Datos!BF10),(('Resol  Asuntos'!D10/NºAsuntos!G10)-Datos!BF10)/Datos!BF10," - ")</f>
        <v>-0.37500000000000006</v>
      </c>
      <c r="K10" s="465">
        <f>IF(ISNUMBER((((NºAsuntos!C10+NºAsuntos!E10)/NºAsuntos!G10)-Datos!BG10)/Datos!BG10),(((NºAsuntos!C10+NºAsuntos!E10)/NºAsuntos!G10)-Datos!BG10)/Datos!BG10," - ")</f>
        <v>0.839622641509434</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0.37038590604026844</v>
      </c>
      <c r="C12" s="459">
        <f>IF(ISNUMBER(
   IF(J_V="SI",(Datos!J12-Datos!T12)/Datos!T12,(Datos!J12+Datos!Z12-(Datos!T12+Datos!AH12))/(Datos!T12+Datos!AH12))
     ),IF(J_V="SI",(Datos!J12-Datos!T12)/Datos!T12,(Datos!J12+Datos!Z12-(Datos!T12+Datos!AH12))/(Datos!T12+Datos!AH12))," - ")</f>
        <v>3.472222222222222E-3</v>
      </c>
      <c r="D12" s="459">
        <f>IF(ISNUMBER(
   IF(J_V="SI",(Datos!K12-Datos!U12)/Datos!U12,(Datos!K12+Datos!AA12-(Datos!U12+Datos!AI12))/(Datos!U12+Datos!AI12))
     ),IF(J_V="SI",(Datos!K12-Datos!U12)/Datos!U12,(Datos!K12+Datos!AA12-(Datos!U12+Datos!AI12))/(Datos!U12+Datos!AI12))," - ")</f>
        <v>0.4730831973898858</v>
      </c>
      <c r="E12" s="459">
        <f>IF(ISNUMBER(
   IF(J_V="SI",(Datos!L12-Datos!V12)/Datos!V12,(Datos!L12+Datos!AB12-(Datos!V12+Datos!AJ12))/(Datos!V12+Datos!AJ12))
     ),IF(J_V="SI",(Datos!L12-Datos!V12)/Datos!V12,(Datos!L12+Datos!AB12-(Datos!V12+Datos!AJ12))/(Datos!V12+Datos!AJ12))," - ")</f>
        <v>0.22618595825426946</v>
      </c>
      <c r="F12" s="459">
        <f>IF(ISNUMBER((Datos!M12-Datos!W12)/Datos!W12),(Datos!M12-Datos!W12)/Datos!W12," - ")</f>
        <v>1.03</v>
      </c>
      <c r="G12" s="460">
        <f>IF(ISNUMBER((Datos!N12-Datos!X12)/Datos!X12),(Datos!N12-Datos!X12)/Datos!X12," - ")</f>
        <v>0.56967213114754101</v>
      </c>
      <c r="H12" s="458">
        <f>IF(ISNUMBER(((NºAsuntos!G12/NºAsuntos!E12)-Datos!BD12)/Datos!BD12),((NºAsuntos!G12/NºAsuntos!E12)-Datos!BD12)/Datos!BD12," - ")</f>
        <v>0.46798602369649522</v>
      </c>
      <c r="I12" s="459">
        <f>IF(ISNUMBER(((NºAsuntos!I12/NºAsuntos!G12)-Datos!BE12)/Datos!BE12),((NºAsuntos!I12/NºAsuntos!G12)-Datos!BE12)/Datos!BE12," - ")</f>
        <v>-0.16760576698796545</v>
      </c>
      <c r="J12" s="464">
        <f>IF(ISNUMBER((('Resol  Asuntos'!D12/NºAsuntos!G12)-Datos!BF12)/Datos!BF12),(('Resol  Asuntos'!D12/NºAsuntos!G12)-Datos!BF12)/Datos!BF12," - ")</f>
        <v>-0.43522048544923109</v>
      </c>
      <c r="K12" s="465">
        <f>IF(ISNUMBER((((NºAsuntos!C12+NºAsuntos!E12)/NºAsuntos!G12)-Datos!BG12)/Datos!BG12),(((NºAsuntos!C12+NºAsuntos!E12)/NºAsuntos!G12)-Datos!BG12)/Datos!BG12," - ")</f>
        <v>-0.13597327463463332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0.35955518945634268</v>
      </c>
      <c r="C13" s="858">
        <f>IF(ISNUMBER(
   IF(J_V="SI",(Datos!J13-Datos!T13)/Datos!T13,(Datos!J13+Datos!Z13-(Datos!T13+Datos!AH13))/(Datos!T13+Datos!AH13))
     ),IF(J_V="SI",(Datos!J13-Datos!T13)/Datos!T13,(Datos!J13+Datos!Z13-(Datos!T13+Datos!AH13))/(Datos!T13+Datos!AH13))," - ")</f>
        <v>-1.145475372279496E-3</v>
      </c>
      <c r="D13" s="858">
        <f>IF(ISNUMBER(
   IF(J_V="SI",(Datos!K13-Datos!U13)/Datos!U13,(Datos!K13+Datos!AA13-(Datos!U13+Datos!AI13))/(Datos!U13+Datos!AI13))
     ),IF(J_V="SI",(Datos!K13-Datos!U13)/Datos!U13,(Datos!K13+Datos!AA13-(Datos!U13+Datos!AI13))/(Datos!U13+Datos!AI13))," - ")</f>
        <v>0.45585874799357945</v>
      </c>
      <c r="E13" s="858">
        <f>IF(ISNUMBER(
   IF(J_V="SI",(Datos!L13-Datos!V13)/Datos!V13,(Datos!L13+Datos!AB13-(Datos!V13+Datos!AJ13))/(Datos!V13+Datos!AJ13))
     ),IF(J_V="SI",(Datos!L13-Datos!V13)/Datos!V13,(Datos!L13+Datos!AB13-(Datos!V13+Datos!AJ13))/(Datos!V13+Datos!AJ13))," - ")</f>
        <v>0.21956684092606424</v>
      </c>
      <c r="F13" s="859">
        <f>IF(ISNUMBER((Datos!M13-Datos!W13)/Datos!W13),(Datos!M13-Datos!W13)/Datos!W13," - ")</f>
        <v>0.96153846153846156</v>
      </c>
      <c r="G13" s="860">
        <f>IF(ISNUMBER((Datos!N13-Datos!X13)/Datos!X13),(Datos!N13-Datos!X13)/Datos!X13," - ")</f>
        <v>0.55020080321285136</v>
      </c>
      <c r="H13" s="860">
        <f>IF(ISNUMBER(((NºAsuntos!G13/NºAsuntos!E13)-Datos!BD13)/Datos!BD13),((NºAsuntos!G13/NºAsuntos!E13)-Datos!BD13)/Datos!BD13," - ")</f>
        <v>0.45752831077797557</v>
      </c>
      <c r="I13" s="860">
        <f>IF(ISNUMBER(((NºAsuntos!I13/NºAsuntos!G13)-Datos!BE13)/Datos!BE13),((NºAsuntos!I13/NºAsuntos!G13)-Datos!BE13)/Datos!BE13," - ")</f>
        <v>-0.16230414344328767</v>
      </c>
      <c r="J13" s="860">
        <f>IF(ISNUMBER((('Resol  Asuntos'!D13/NºAsuntos!G13)-Datos!BF13)/Datos!BF13),(('Resol  Asuntos'!D13/NºAsuntos!G13)-Datos!BF13)/Datos!BF13," - ")</f>
        <v>-0.43498595155955466</v>
      </c>
      <c r="K13" s="860">
        <f>IF(ISNUMBER((((NºAsuntos!C13+NºAsuntos!E13)/NºAsuntos!G13)-Datos!BG13)/Datos!BG13),(((NºAsuntos!C13+NºAsuntos!E13)/NºAsuntos!G13)-Datos!BG13)/Datos!BG13," - ")</f>
        <v>-0.13167237083948036</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0.12510288065843622</v>
      </c>
      <c r="C16" s="459">
        <f>IF(ISNUMBER(
   IF(D_I="SI",(Datos!J16-Datos!T16)/Datos!T16,(Datos!J16+Datos!AD16-(Datos!T16+Datos!AL16))/(Datos!T16+Datos!AL16))
     ),IF(D_I="SI",(Datos!J16-Datos!T16)/Datos!T16,(Datos!J16+Datos!AD16-(Datos!T16+Datos!AL16))/(Datos!T16+Datos!AL16))," - ")</f>
        <v>-2.7263875365141188E-2</v>
      </c>
      <c r="D16" s="459">
        <f>IF(ISNUMBER(
   IF(D_I="SI",(Datos!K16-Datos!U16)/Datos!U16,(Datos!K16+Datos!AE16-(Datos!U16+Datos!AM16))/(Datos!U16+Datos!AM16))
     ),IF(D_I="SI",(Datos!K16-Datos!U16)/Datos!U16,(Datos!K16+Datos!AE16-(Datos!U16+Datos!AM16))/(Datos!U16+Datos!AM16))," - ")</f>
        <v>-0.17945544554455445</v>
      </c>
      <c r="E16" s="459">
        <f>IF(ISNUMBER(
   IF(D_I="SI",(Datos!L16-Datos!V16)/Datos!V16,(Datos!L16+Datos!AF16-(Datos!V16+Datos!AN16))/(Datos!V16+Datos!AN16))
     ),IF(D_I="SI",(Datos!L16-Datos!V16)/Datos!V16,(Datos!L16+Datos!AF16-(Datos!V16+Datos!AN16))/(Datos!V16+Datos!AN16))," - ")</f>
        <v>0.1867595818815331</v>
      </c>
      <c r="F16" s="459">
        <f>IF(ISNUMBER((Datos!M16-Datos!W16)/Datos!W16),(Datos!M16-Datos!W16)/Datos!W16," - ")</f>
        <v>-0.13513513513513514</v>
      </c>
      <c r="G16" s="460">
        <f>IF(ISNUMBER((Datos!N16-Datos!X16)/Datos!X16),(Datos!N16-Datos!X16)/Datos!X16," - ")</f>
        <v>-0.21273031825795644</v>
      </c>
      <c r="H16" s="458">
        <f>IF(ISNUMBER(((NºAsuntos!G16/NºAsuntos!E16)-Datos!BD16)/Datos!BD16),((NºAsuntos!G16/NºAsuntos!E16)-Datos!BD16)/Datos!BD16," - ")</f>
        <v>-0.15645719977403147</v>
      </c>
      <c r="I16" s="459">
        <f>IF(ISNUMBER(((NºAsuntos!I16/NºAsuntos!G16)-Datos!BE16)/Datos!BE16),((NºAsuntos!I16/NºAsuntos!G16)-Datos!BE16)/Datos!BE16," - ")</f>
        <v>0.44630730340916874</v>
      </c>
      <c r="J16" s="464">
        <f>IF(ISNUMBER((('Resol  Asuntos'!D16/NºAsuntos!G16)-Datos!BF16)/Datos!BF16),(('Resol  Asuntos'!D16/NºAsuntos!G16)-Datos!BF16)/Datos!BF16," - ")</f>
        <v>5.4013289307407022E-2</v>
      </c>
      <c r="K16" s="465">
        <f>IF(ISNUMBER((((NºAsuntos!C16+NºAsuntos!E16)/NºAsuntos!G16)-Datos!BG16)/Datos!BG16),(((NºAsuntos!C16+NºAsuntos!E16)/NºAsuntos!G16)-Datos!BG16)/Datos!BG16," - ")</f>
        <v>0.28610659250319226</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0.22594142259414227</v>
      </c>
      <c r="C17" s="459">
        <f>IF(ISNUMBER(
   IF(D_I="SI",(Datos!J17-Datos!T17)/Datos!T17,(Datos!J17+Datos!AD17-(Datos!T17+Datos!AL17))/(Datos!T17+Datos!AL17))
     ),IF(D_I="SI",(Datos!J17-Datos!T17)/Datos!T17,(Datos!J17+Datos!AD17-(Datos!T17+Datos!AL17))/(Datos!T17+Datos!AL17))," - ")</f>
        <v>-3.0769230769230771E-2</v>
      </c>
      <c r="D17" s="459">
        <f>IF(ISNUMBER(
   IF(D_I="SI",(Datos!K17-Datos!U17)/Datos!U17,(Datos!K17+Datos!AE17-(Datos!U17+Datos!AM17))/(Datos!U17+Datos!AM17))
     ),IF(D_I="SI",(Datos!K17-Datos!U17)/Datos!U17,(Datos!K17+Datos!AE17-(Datos!U17+Datos!AM17))/(Datos!U17+Datos!AM17))," - ")</f>
        <v>0.28301886792452829</v>
      </c>
      <c r="E17" s="459">
        <f>IF(ISNUMBER(
   IF(D_I="SI",(Datos!L17-Datos!V17)/Datos!V17,(Datos!L17+Datos!AF17-(Datos!V17+Datos!AN17))/(Datos!V17+Datos!AN17))
     ),IF(D_I="SI",(Datos!L17-Datos!V17)/Datos!V17,(Datos!L17+Datos!AF17-(Datos!V17+Datos!AN17))/(Datos!V17+Datos!AN17))," - ")</f>
        <v>0.14741035856573706</v>
      </c>
      <c r="F17" s="459">
        <f>IF(ISNUMBER((Datos!M17-Datos!W17)/Datos!W17),(Datos!M17-Datos!W17)/Datos!W17," - ")</f>
        <v>0</v>
      </c>
      <c r="G17" s="460">
        <f>IF(ISNUMBER((Datos!N17-Datos!X17)/Datos!X17),(Datos!N17-Datos!X17)/Datos!X17," - ")</f>
        <v>0.13043478260869565</v>
      </c>
      <c r="H17" s="458">
        <f>IF(ISNUMBER(((NºAsuntos!G17/NºAsuntos!E17)-Datos!BD17)/Datos!BD17),((NºAsuntos!G17/NºAsuntos!E17)-Datos!BD17)/Datos!BD17," - ")</f>
        <v>0.32374962563641801</v>
      </c>
      <c r="I17" s="459">
        <f>IF(ISNUMBER(((NºAsuntos!I17/NºAsuntos!G17)-Datos!BE17)/Datos!BE17),((NºAsuntos!I17/NºAsuntos!G17)-Datos!BE17)/Datos!BE17," - ")</f>
        <v>-0.10569486758846956</v>
      </c>
      <c r="J17" s="464">
        <f>IF(ISNUMBER((('Resol  Asuntos'!D17/NºAsuntos!G17)-Datos!BF17)/Datos!BF17),(('Resol  Asuntos'!D17/NºAsuntos!G17)-Datos!BF17)/Datos!BF17," - ")</f>
        <v>-0.22058823529411761</v>
      </c>
      <c r="K17" s="465">
        <f>IF(ISNUMBER((((NºAsuntos!C17+NºAsuntos!E17)/NºAsuntos!G17)-Datos!BG17)/Datos!BG17),(((NºAsuntos!C17+NºAsuntos!E17)/NºAsuntos!G17)-Datos!BG17)/Datos!BG17," - ")</f>
        <v>-8.7267801857585064E-2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0.14167812929848694</v>
      </c>
      <c r="C18" s="858">
        <f>IF(ISNUMBER(
   IF(Criterios!B14="SI",(Datos!J18-Datos!T18)/Datos!T18,(Datos!J18+Datos!AD18-(Datos!T18+Datos!AL18))/(Datos!T18+Datos!AL18))
     ),IF(Criterios!B14="SI",(Datos!J18-Datos!T18)/Datos!T18,(Datos!J18+Datos!AD18-(Datos!T18+Datos!AL18))/(Datos!T18+Datos!AL18))," - ")</f>
        <v>-2.7472527472527472E-2</v>
      </c>
      <c r="D18" s="858">
        <f>IF(ISNUMBER(
   IF(Criterios!B14="SI",(Datos!K18-Datos!U18)/Datos!U18,(Datos!K18+Datos!AE18-(Datos!U18+Datos!AM18))/(Datos!U18+Datos!AM18))
     ),IF(Criterios!B14="SI",(Datos!K18-Datos!U18)/Datos!U18,(Datos!K18+Datos!AE18-(Datos!U18+Datos!AM18))/(Datos!U18+Datos!AM18))," - ")</f>
        <v>-0.15098722415795587</v>
      </c>
      <c r="E18" s="858">
        <f>IF(ISNUMBER(
   IF(Criterios!B14="SI",(Datos!L18-Datos!V18)/Datos!V18,(Datos!L18+Datos!AF18-(Datos!V18+Datos!AN18))/(Datos!V18+Datos!AN18))
     ),IF(Criterios!B14="SI",(Datos!L18-Datos!V18)/Datos!V18,(Datos!L18+Datos!AF18-(Datos!V18+Datos!AN18))/(Datos!V18+Datos!AN18))," - ")</f>
        <v>0.18090154211150652</v>
      </c>
      <c r="F18" s="859">
        <f>IF(ISNUMBER((Datos!M18-Datos!W18)/Datos!W18),(Datos!M18-Datos!W18)/Datos!W18," - ")</f>
        <v>-0.12987012987012986</v>
      </c>
      <c r="G18" s="860">
        <f>IF(ISNUMBER((Datos!N18-Datos!X18)/Datos!X18),(Datos!N18-Datos!X18)/Datos!X18," - ")</f>
        <v>-0.2</v>
      </c>
      <c r="H18" s="860">
        <f>IF(ISNUMBER(((NºAsuntos!G18/NºAsuntos!E18)-Datos!BD18)/Datos!BD18),((NºAsuntos!G18/NºAsuntos!E18)-Datos!BD18)/Datos!BD18," - ")</f>
        <v>-0.12700381241100547</v>
      </c>
      <c r="I18" s="860">
        <f>IF(ISNUMBER(((NºAsuntos!I18/NºAsuntos!G18)-Datos!BE18)/Datos!BE18),((NºAsuntos!I18/NºAsuntos!G18)-Datos!BE18)/Datos!BE18," - ")</f>
        <v>0.3909113922818156</v>
      </c>
      <c r="J18" s="860">
        <f>IF(ISNUMBER((('Resol  Asuntos'!D18/NºAsuntos!G18)-Datos!BF18)/Datos!BF18),(('Resol  Asuntos'!D18/NºAsuntos!G18)-Datos!BF18)/Datos!BF18," - ")</f>
        <v>2.487252829250091E-2</v>
      </c>
      <c r="K18" s="860">
        <f>IF(ISNUMBER((((NºAsuntos!C18+NºAsuntos!E18)/NºAsuntos!G18)-Datos!BG18)/Datos!BG18),(((NºAsuntos!C18+NºAsuntos!E18)/NºAsuntos!G18)-Datos!BG18)/Datos!BG18," - ")</f>
        <v>0.25926025427617472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0.27794951056156619</v>
      </c>
      <c r="C19" s="805">
        <f>IF(ISNUMBER(
   IF(J_V="SI",(Datos!J19-Datos!T19)/Datos!T19,(Datos!J19+Datos!Z19-(Datos!T19+Datos!AH19))/(Datos!T19+Datos!AH19))
     ),IF(J_V="SI",(Datos!J19-Datos!T19)/Datos!T19,(Datos!J19+Datos!Z19-(Datos!T19+Datos!AH19))/(Datos!T19+Datos!AH19))," - ")</f>
        <v>-1.5776081424936386E-2</v>
      </c>
      <c r="D19" s="805">
        <f>IF(ISNUMBER(
   IF(J_V="SI",(Datos!K19-Datos!U19)/Datos!U19,(Datos!K19+Datos!AA19-(Datos!U19+Datos!AI19))/(Datos!U19+Datos!AI19))
     ),IF(J_V="SI",(Datos!K19-Datos!U19)/Datos!U19,(Datos!K19+Datos!AA19-(Datos!U19+Datos!AI19))/(Datos!U19+Datos!AI19))," - ")</f>
        <v>0.10377358490566038</v>
      </c>
      <c r="E19" s="805">
        <f>IF(ISNUMBER(
   IF(J_V="SI",(Datos!L19-Datos!V19)/Datos!V19,(Datos!L19+Datos!AB19-(Datos!V19+Datos!AJ19))/(Datos!V19+Datos!AJ19))
     ),IF(J_V="SI",(Datos!L19-Datos!V19)/Datos!V19,(Datos!L19+Datos!AB19-(Datos!V19+Datos!AJ19))/(Datos!V19+Datos!AJ19))," - ")</f>
        <v>0.20462878093492209</v>
      </c>
      <c r="F19" s="806">
        <f>IF(ISNUMBER((Datos!M19-Datos!W19)/Datos!W19),(Datos!M19-Datos!W19)/Datos!W19," - ")</f>
        <v>0.49723756906077349</v>
      </c>
      <c r="G19" s="807">
        <f>IF(ISNUMBER((Datos!N19-Datos!X19)/Datos!X19),(Datos!N19-Datos!X19)/Datos!X19," - ")</f>
        <v>1.4959723820483314E-2</v>
      </c>
      <c r="H19" s="808">
        <f>IF(ISNUMBER((Tasas!B19-Datos!BD19)/Datos!BD19),(Tasas!B19-Datos!BD19)/Datos!BD19," - ")</f>
        <v>0.12146592261614414</v>
      </c>
      <c r="I19" s="809">
        <f>IF(ISNUMBER((Tasas!C19-Datos!BE19)/Datos!BE19),(Tasas!C19-Datos!BE19)/Datos!BE19," - ")</f>
        <v>9.1373083582066181E-2</v>
      </c>
      <c r="J19" s="810">
        <f>IF(ISNUMBER((Tasas!D19-Datos!BF19)/Datos!BF19),(Tasas!D19-Datos!BF19)/Datos!BF19," - ")</f>
        <v>-0.24454963839579222</v>
      </c>
      <c r="K19" s="810">
        <f>IF(ISNUMBER((Tasas!E19-Datos!BG19)/Datos!BG19),(Tasas!E19-Datos!BG19)/Datos!BG19," - ")</f>
        <v>6.8368759492412681E-2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QLlua5Rqn0uboZq3DZZ5H+JT1h++sLobE59L13vKecj+9Y9Dm6gzg1KYCiYKbMKdl4sxBiYKqsD6VWaWTtUVyQ==" saltValue="3Axxfasxc5v6E7ZjNTKzX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CATALUÑA</v>
      </c>
    </row>
    <row r="3" spans="1:7" ht="19.5">
      <c r="A3" s="439" t="s">
        <v>12</v>
      </c>
      <c r="B3" s="394" t="str">
        <f>Criterios!A10 &amp;"  "&amp;Criterios!B10</f>
        <v>Provincias  TARRAGONA</v>
      </c>
    </row>
    <row r="4" spans="1:7" ht="11.25" customHeight="1" thickBot="1">
      <c r="B4" s="394" t="str">
        <f>Criterios!A11 &amp;"  "&amp;Criterios!B11</f>
        <v>Resumenes por Partidos Judiciales  VALLS</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0.8</v>
      </c>
      <c r="C10" s="446">
        <f>IF(ISNUMBER(NºAsuntos!I10/NºAsuntos!G10),NºAsuntos!I10/NºAsuntos!G10," - ")</f>
        <v>8.75</v>
      </c>
      <c r="D10" s="447">
        <f>IF(ISNUMBER('Resol  Asuntos'!D10/NºAsuntos!G10),'Resol  Asuntos'!D10/NºAsuntos!G10," - ")</f>
        <v>0.25</v>
      </c>
      <c r="E10" s="448">
        <f>IF(ISNUMBER((NºAsuntos!C10+NºAsuntos!E10)/NºAsuntos!G10),(NºAsuntos!C10+NºAsuntos!E10)/NºAsuntos!G10," - ")</f>
        <v>9.75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1.0415224913494809</v>
      </c>
      <c r="C12" s="446">
        <f>IF(ISNUMBER(NºAsuntos!I12/NºAsuntos!G12),NºAsuntos!I12/NºAsuntos!G12," - ")</f>
        <v>3.5780730897009967</v>
      </c>
      <c r="D12" s="447">
        <f>IF(ISNUMBER('Resol  Asuntos'!D12/NºAsuntos!G12),'Resol  Asuntos'!D12/NºAsuntos!G12," - ")</f>
        <v>0.22480620155038761</v>
      </c>
      <c r="E12" s="448">
        <f>IF(ISNUMBER((NºAsuntos!C12+NºAsuntos!E12)/NºAsuntos!G12),(NºAsuntos!C12+NºAsuntos!E12)/NºAsuntos!G12," - ")</f>
        <v>4.5780730897009967</v>
      </c>
      <c r="G12" s="466"/>
    </row>
    <row r="13" spans="1:7" ht="14.25" thickTop="1" thickBot="1">
      <c r="A13" s="851" t="str">
        <f>Datos!A13</f>
        <v>TOTAL</v>
      </c>
      <c r="B13" s="861">
        <f>IF(ISNUMBER(NºAsuntos!G13/NºAsuntos!E13),NºAsuntos!G13/NºAsuntos!E13," - ")</f>
        <v>1.040137614678899</v>
      </c>
      <c r="C13" s="862">
        <f>IF(ISNUMBER(NºAsuntos!I13/NºAsuntos!G13),NºAsuntos!I13/NºAsuntos!G13," - ")</f>
        <v>3.6008820286659318</v>
      </c>
      <c r="D13" s="863">
        <f>IF(ISNUMBER('Resol  Asuntos'!D13/NºAsuntos!G13),'Resol  Asuntos'!D13/NºAsuntos!G13," - ")</f>
        <v>0.22491730981256891</v>
      </c>
      <c r="E13" s="864">
        <f>IF(ISNUMBER((NºAsuntos!C13+NºAsuntos!E13)/NºAsuntos!G13),(NºAsuntos!C13+NºAsuntos!E13)/NºAsuntos!G13," - ")</f>
        <v>4.6008820286659313</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0.66366366366366369</v>
      </c>
      <c r="C16" s="446">
        <f>IF(ISNUMBER(NºAsuntos!I16/NºAsuntos!G16),NºAsuntos!I16/NºAsuntos!G16," - ")</f>
        <v>2.5686274509803924</v>
      </c>
      <c r="D16" s="447">
        <f>IF(ISNUMBER('Resol  Asuntos'!D16/NºAsuntos!G16),'Resol  Asuntos'!D16/NºAsuntos!G16," - ")</f>
        <v>9.6530920060331829E-2</v>
      </c>
      <c r="E16" s="448">
        <f>IF(ISNUMBER((NºAsuntos!C16+NºAsuntos!E16)/NºAsuntos!G16),(NºAsuntos!C16+NºAsuntos!E16)/NºAsuntos!G16," - ")</f>
        <v>3.5686274509803924</v>
      </c>
      <c r="G16" s="466"/>
    </row>
    <row r="17" spans="1:7" ht="13.5" thickBot="1">
      <c r="A17" s="405" t="str">
        <f>Datos!A17</f>
        <v>Jdos. Violencia contra la mujer</v>
      </c>
      <c r="B17" s="445">
        <f>IF(ISNUMBER(NºAsuntos!G17/NºAsuntos!E17),NºAsuntos!G17/NºAsuntos!E17," - ")</f>
        <v>1.0793650793650793</v>
      </c>
      <c r="C17" s="446">
        <f>IF(ISNUMBER(NºAsuntos!I17/NºAsuntos!G17),NºAsuntos!I17/NºAsuntos!G17," - ")</f>
        <v>4.2352941176470589</v>
      </c>
      <c r="D17" s="447">
        <f>IF(ISNUMBER('Resol  Asuntos'!D17/NºAsuntos!G17),'Resol  Asuntos'!D17/NºAsuntos!G17," - ")</f>
        <v>4.4117647058823532E-2</v>
      </c>
      <c r="E17" s="448">
        <f>IF(ISNUMBER((NºAsuntos!C17+NºAsuntos!E17)/NºAsuntos!G17),(NºAsuntos!C17+NºAsuntos!E17)/NºAsuntos!G17," - ")</f>
        <v>5.2352941176470589</v>
      </c>
      <c r="G17" s="466"/>
    </row>
    <row r="18" spans="1:7" ht="14.25" thickTop="1" thickBot="1">
      <c r="A18" s="851" t="str">
        <f>Datos!A18</f>
        <v>TOTAL</v>
      </c>
      <c r="B18" s="861">
        <f>IF(ISNUMBER(NºAsuntos!G18/NºAsuntos!E18),NºAsuntos!G18/NºAsuntos!E18," - ")</f>
        <v>0.68832391713747643</v>
      </c>
      <c r="C18" s="862">
        <f>IF(ISNUMBER(NºAsuntos!I18/NºAsuntos!G18),NºAsuntos!I18/NºAsuntos!G18," - ")</f>
        <v>2.7236662106703147</v>
      </c>
      <c r="D18" s="865">
        <f>IF(ISNUMBER('Resol  Asuntos'!D18/NºAsuntos!G18),'Resol  Asuntos'!D18/NºAsuntos!G18," - ")</f>
        <v>9.1655266757865936E-2</v>
      </c>
      <c r="E18" s="864">
        <f>IF(ISNUMBER((NºAsuntos!C18+NºAsuntos!E18)/NºAsuntos!G18),(NºAsuntos!C18+NºAsuntos!E18)/NºAsuntos!G18," - ")</f>
        <v>3.7236662106703147</v>
      </c>
      <c r="G18" s="466"/>
    </row>
    <row r="19" spans="1:7" ht="15.75" customHeight="1" thickTop="1" thickBot="1">
      <c r="A19" s="796" t="str">
        <f>Datos!A19</f>
        <v>TOTAL JURISDICCIONES</v>
      </c>
      <c r="B19" s="811">
        <f>IF(ISNUMBER(NºAsuntos!G19/NºAsuntos!E19),NºAsuntos!G19/NºAsuntos!E19," - ")</f>
        <v>0.84694932781799381</v>
      </c>
      <c r="C19" s="812">
        <f>IF(ISNUMBER(NºAsuntos!I19/NºAsuntos!G19),NºAsuntos!I19/NºAsuntos!G19," - ")</f>
        <v>3.2094017094017095</v>
      </c>
      <c r="D19" s="813">
        <f>IF(ISNUMBER('Resol  Asuntos'!D19/NºAsuntos!G19),'Resol  Asuntos'!D19/NºAsuntos!G19," - ")</f>
        <v>0.16544566544566544</v>
      </c>
      <c r="E19" s="814">
        <f>IF(ISNUMBER((NºAsuntos!C19+NºAsuntos!E19)/NºAsuntos!G19),(NºAsuntos!C19+NºAsuntos!E19)/NºAsuntos!G19," - ")</f>
        <v>4.2094017094017095</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yjP4UszZtV2MniwrufDrv5av3DVt7qm/YOLjzr6vQ6bcgedmymQzDJYcawLHwMSOsveBDiKd5x3Q4WJOPw2WcA==" saltValue="BAGQWJfw+HreqrslUvGGM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CATALUÑA</v>
      </c>
      <c r="G2" s="266"/>
      <c r="H2" s="265"/>
      <c r="I2" s="265"/>
      <c r="J2" s="265"/>
      <c r="K2" s="265"/>
      <c r="L2" s="265" t="str">
        <f>Criterios!A10 &amp;"  "&amp;Criterios!B10</f>
        <v>Provincias  TARRAGONA</v>
      </c>
      <c r="N2" s="265" t="str">
        <f>Criterios!A11 &amp;"  "&amp;Criterios!B11</f>
        <v>Resumenes por Partidos Judiciales  VALLS</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34</v>
      </c>
      <c r="G10" s="336">
        <f>IF(ISNUMBER(Datos!I10),Datos!I10," - ")</f>
        <v>34</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3</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4</v>
      </c>
      <c r="X10" s="229">
        <f>IF(ISNUMBER(Datos!Q10),Datos!Q10," - ")</f>
        <v>0</v>
      </c>
      <c r="Y10" s="337">
        <f t="shared" ref="Y10:Y12" si="0">SUM(W10:X10)</f>
        <v>4</v>
      </c>
      <c r="Z10" s="338" t="str">
        <f>IF(ISNUMBER(Datos!CC10),Datos!CC10," - ")</f>
        <v xml:space="preserve"> - </v>
      </c>
      <c r="AA10" s="335">
        <f>IF(ISNUMBER(Datos!L10),Datos!L10,"-")</f>
        <v>35</v>
      </c>
      <c r="AB10" s="337">
        <f>IF(ISNUMBER(Datos!R10),Datos!R10," - ")</f>
        <v>21</v>
      </c>
      <c r="AC10" s="337">
        <f t="shared" ref="AC10:AC12" si="1">IF(ISNUMBER(AA10+AB10),AA10+AB10," - ")</f>
        <v>56</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v>
      </c>
      <c r="AJ10" s="234" t="str">
        <f>IF(ISNUMBER(Datos!BW10),Datos!BW10," - ")</f>
        <v xml:space="preserve"> - </v>
      </c>
      <c r="AK10" s="235" t="str">
        <f>IF(ISNUMBER(Datos!BX10),Datos!BX10," - ")</f>
        <v xml:space="preserve"> - </v>
      </c>
      <c r="AL10" s="246">
        <f>IF(ISNUMBER(NºAsuntos!G10/NºAsuntos!E10),NºAsuntos!G10/NºAsuntos!E10," - ")</f>
        <v>0.8</v>
      </c>
      <c r="AM10" s="263">
        <f>IF(ISNUMBER(((NºAsuntos!I10/NºAsuntos!G10)*11)/factor_trimestre),((NºAsuntos!I10/NºAsuntos!G10)*11)/factor_trimestre," - ")</f>
        <v>26.25</v>
      </c>
      <c r="AN10" s="247">
        <f>IF(ISNUMBER('Resol  Asuntos'!D10/NºAsuntos!G10),'Resol  Asuntos'!D10/NºAsuntos!G10," - ")</f>
        <v>0.25</v>
      </c>
      <c r="AO10" s="248">
        <f>IF(ISNUMBER((NºAsuntos!C10+NºAsuntos!E10)/NºAsuntos!G10),(NºAsuntos!C10+NºAsuntos!E10)/NºAsuntos!G10," - ")</f>
        <v>9.75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3</v>
      </c>
      <c r="B12" s="278" t="s">
        <v>249</v>
      </c>
      <c r="C12" s="7" t="str">
        <f>Datos!A12</f>
        <v xml:space="preserve">Jdos. 1ª Instª. e Instr.                        </v>
      </c>
      <c r="D12" s="7"/>
      <c r="E12" s="1028">
        <f>IF(ISNUMBER(Datos!AQ12),Datos!AQ12," - ")</f>
        <v>3</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228</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84</v>
      </c>
      <c r="Y12" s="337">
        <f t="shared" si="0"/>
        <v>84</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3365</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203</v>
      </c>
      <c r="AJ12" s="232" t="str">
        <f>IF(ISNUMBER(Datos!BW12),Datos!BW12," - ")</f>
        <v xml:space="preserve"> - </v>
      </c>
      <c r="AK12" s="231" t="str">
        <f>IF(ISNUMBER(Datos!BX12),Datos!BX12," - ")</f>
        <v xml:space="preserve"> - </v>
      </c>
      <c r="AL12" s="246">
        <f>IF(ISNUMBER(NºAsuntos!G12/NºAsuntos!E12),NºAsuntos!G12/NºAsuntos!E12," - ")</f>
        <v>1.0415224913494809</v>
      </c>
      <c r="AM12" s="263">
        <f>IF(ISNUMBER(((NºAsuntos!I12/NºAsuntos!G12)*11)/factor_trimestre),((NºAsuntos!I12/NºAsuntos!G12)*11)/factor_trimestre," - ")</f>
        <v>10.734219269102992</v>
      </c>
      <c r="AN12" s="247">
        <f>IF(ISNUMBER('Resol  Asuntos'!D12/NºAsuntos!G12),'Resol  Asuntos'!D12/NºAsuntos!G12," - ")</f>
        <v>0.22480620155038761</v>
      </c>
      <c r="AO12" s="248">
        <f>IF(ISNUMBER((NºAsuntos!C12+NºAsuntos!E12)/NºAsuntos!G12),(NºAsuntos!C12+NºAsuntos!E12)/NºAsuntos!G12," - ")</f>
        <v>4.5780730897009967</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3</v>
      </c>
      <c r="F13" s="868">
        <f t="shared" si="3"/>
        <v>34</v>
      </c>
      <c r="G13" s="869">
        <f t="shared" si="3"/>
        <v>34</v>
      </c>
      <c r="H13" s="868">
        <f t="shared" si="3"/>
        <v>0</v>
      </c>
      <c r="I13" s="870">
        <f t="shared" si="3"/>
        <v>0</v>
      </c>
      <c r="J13" s="870">
        <f t="shared" si="3"/>
        <v>0</v>
      </c>
      <c r="K13" s="870">
        <f t="shared" si="3"/>
        <v>0</v>
      </c>
      <c r="L13" s="870">
        <f t="shared" si="3"/>
        <v>231</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4</v>
      </c>
      <c r="X13" s="870">
        <f t="shared" si="4"/>
        <v>84</v>
      </c>
      <c r="Y13" s="871">
        <f t="shared" si="4"/>
        <v>88</v>
      </c>
      <c r="Z13" s="871">
        <f t="shared" si="4"/>
        <v>0</v>
      </c>
      <c r="AA13" s="871">
        <f t="shared" si="4"/>
        <v>35</v>
      </c>
      <c r="AB13" s="871">
        <f t="shared" si="4"/>
        <v>3386</v>
      </c>
      <c r="AC13" s="871">
        <f t="shared" si="4"/>
        <v>56</v>
      </c>
      <c r="AD13" s="871">
        <f t="shared" si="4"/>
        <v>0</v>
      </c>
      <c r="AE13" s="875">
        <f t="shared" si="4"/>
        <v>0</v>
      </c>
      <c r="AF13" s="868">
        <f t="shared" si="4"/>
        <v>0</v>
      </c>
      <c r="AG13" s="876">
        <f t="shared" si="4"/>
        <v>0</v>
      </c>
      <c r="AH13" s="873">
        <f t="shared" si="4"/>
        <v>0</v>
      </c>
      <c r="AI13" s="868">
        <f t="shared" si="4"/>
        <v>204</v>
      </c>
      <c r="AJ13" s="870">
        <f t="shared" si="4"/>
        <v>0</v>
      </c>
      <c r="AK13" s="873">
        <f>SUBTOTAL(9,AK9:AK12)</f>
        <v>0</v>
      </c>
      <c r="AL13" s="877">
        <f>IF(ISNUMBER(NºAsuntos!G13/NºAsuntos!E13),NºAsuntos!G13/NºAsuntos!E13," - ")</f>
        <v>1.040137614678899</v>
      </c>
      <c r="AM13" s="877">
        <f>IF(ISNUMBER(((NºAsuntos!I13/NºAsuntos!G13)*11)/factor_trimestre),((NºAsuntos!I13/NºAsuntos!G13)*11)/factor_trimestre," - ")</f>
        <v>10.802646085997797</v>
      </c>
      <c r="AN13" s="878">
        <f>IF(ISNUMBER('Resol  Asuntos'!D13/NºAsuntos!G13),'Resol  Asuntos'!D13/NºAsuntos!G13," - ")</f>
        <v>0.22491730981256891</v>
      </c>
      <c r="AO13" s="879">
        <f>IF(ISNUMBER((NºAsuntos!C13+NºAsuntos!E13)/NºAsuntos!G13),(NºAsuntos!C13+NºAsuntos!E13)/NºAsuntos!G13," - ")</f>
        <v>4.6008820286659313</v>
      </c>
      <c r="AP13" s="880" t="str">
        <f t="shared" si="2"/>
        <v xml:space="preserve"> - </v>
      </c>
      <c r="AQ13" s="880">
        <f>IF(ISNUMBER((H13-W13+K13)/(F13)),(H13-W13+K13)/(F13)," - ")</f>
        <v>-0.11764705882352941</v>
      </c>
      <c r="AR13" s="881">
        <f>IF(ISNUMBER((Datos!P13-Datos!Q13)/(Datos!R13-Datos!P13+Datos!Q13)),(Datos!P13-Datos!Q13)/(Datos!R13-Datos!P13+Datos!Q13)," - ")</f>
        <v>4.5384377894411854E-2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3</v>
      </c>
      <c r="B16" s="278" t="s">
        <v>400</v>
      </c>
      <c r="C16" s="163" t="str">
        <f>Datos!A16</f>
        <v xml:space="preserve">Jdos. 1ª Instª. e Instr.                        </v>
      </c>
      <c r="D16" s="163"/>
      <c r="E16" s="1028">
        <f>IF(ISNUMBER(Datos!AQ16),Datos!AQ16," - ")</f>
        <v>3</v>
      </c>
      <c r="F16" s="228">
        <f>IF(ISNUMBER(AA16+W16-Datos!J16-K16),AA16+W16-Datos!J16-K16," - ")</f>
        <v>1367</v>
      </c>
      <c r="G16" s="336">
        <f>IF(ISNUMBER(IF(D_I="SI",Datos!I16,Datos!I16+Datos!AC16)),IF(D_I="SI",Datos!I16,Datos!I16+Datos!AC16)," - ")</f>
        <v>1367</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5</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663</v>
      </c>
      <c r="X16" s="229">
        <f>IF(ISNUMBER(Datos!Q16),Datos!Q16," - ")</f>
        <v>10</v>
      </c>
      <c r="Y16" s="337">
        <f t="shared" ref="Y16:Y17" si="7">SUM(W16:X16)</f>
        <v>673</v>
      </c>
      <c r="Z16" s="338" t="str">
        <f>IF(ISNUMBER(Datos!CC16),Datos!CC16," - ")</f>
        <v xml:space="preserve"> - </v>
      </c>
      <c r="AA16" s="335">
        <f>IF(ISNUMBER(IF(D_I="SI",Datos!L16,Datos!L16+Datos!AF16)),IF(D_I="SI",Datos!L16,Datos!L16+Datos!AF16)," - ")</f>
        <v>1703</v>
      </c>
      <c r="AB16" s="337">
        <f>IF(ISNUMBER(Datos!R16),Datos!R16," - ")</f>
        <v>77</v>
      </c>
      <c r="AC16" s="337">
        <f t="shared" si="6"/>
        <v>1780</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64</v>
      </c>
      <c r="AJ16" s="234" t="str">
        <f>IF(ISNUMBER(Datos!BW16),Datos!BW16," - ")</f>
        <v xml:space="preserve"> - </v>
      </c>
      <c r="AK16" s="235" t="str">
        <f>IF(ISNUMBER(Datos!BX16),Datos!BX16," - ")</f>
        <v xml:space="preserve"> - </v>
      </c>
      <c r="AL16" s="246">
        <f>IF(ISNUMBER(NºAsuntos!G16/NºAsuntos!E16),NºAsuntos!G16/NºAsuntos!E16," - ")</f>
        <v>0.66366366366366369</v>
      </c>
      <c r="AM16" s="263">
        <f>IF(ISNUMBER(((NºAsuntos!I16/NºAsuntos!G16)*11)/factor_trimestre),((NºAsuntos!I16/NºAsuntos!G16)*11)/factor_trimestre," - ")</f>
        <v>7.7058823529411775</v>
      </c>
      <c r="AN16" s="247">
        <f>IF(ISNUMBER('Resol  Asuntos'!D16/NºAsuntos!G16),'Resol  Asuntos'!D16/NºAsuntos!G16," - ")</f>
        <v>9.6530920060331829E-2</v>
      </c>
      <c r="AO16" s="248">
        <f>IF(ISNUMBER((NºAsuntos!C16+NºAsuntos!E16)/NºAsuntos!G16),(NºAsuntos!C16+NºAsuntos!E16)/NºAsuntos!G16," - ")</f>
        <v>3.5686274509803924</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293</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68</v>
      </c>
      <c r="X17" s="229">
        <f>IF(ISNUMBER(Datos!Q17),Datos!Q17," - ")</f>
        <v>0</v>
      </c>
      <c r="Y17" s="337">
        <f t="shared" si="7"/>
        <v>68</v>
      </c>
      <c r="Z17" s="338" t="str">
        <f>IF(ISNUMBER(Datos!CC17),Datos!CC17," - ")</f>
        <v xml:space="preserve"> - </v>
      </c>
      <c r="AA17" s="335">
        <f>IF(ISNUMBER(Datos!L17),Datos!L17,"-")</f>
        <v>288</v>
      </c>
      <c r="AB17" s="337">
        <f>IF(ISNUMBER(Datos!R17),Datos!R17," - ")</f>
        <v>0</v>
      </c>
      <c r="AC17" s="337">
        <f t="shared" si="6"/>
        <v>288</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3</v>
      </c>
      <c r="AJ17" s="234" t="str">
        <f>IF(ISNUMBER(Datos!BW17),Datos!BW17," - ")</f>
        <v xml:space="preserve"> - </v>
      </c>
      <c r="AK17" s="235" t="str">
        <f>IF(ISNUMBER(Datos!BX17),Datos!BX17," - ")</f>
        <v xml:space="preserve"> - </v>
      </c>
      <c r="AL17" s="246">
        <f>IF(ISNUMBER(NºAsuntos!G17/NºAsuntos!E17),NºAsuntos!G17/NºAsuntos!E17," - ")</f>
        <v>1.0793650793650793</v>
      </c>
      <c r="AM17" s="263">
        <f>IF(ISNUMBER(((NºAsuntos!I17/NºAsuntos!G17)*11)/factor_trimestre),((NºAsuntos!I17/NºAsuntos!G17)*11)/factor_trimestre," - ")</f>
        <v>12.705882352941176</v>
      </c>
      <c r="AN17" s="247">
        <f>IF(ISNUMBER('Resol  Asuntos'!D17/NºAsuntos!G17),'Resol  Asuntos'!D17/NºAsuntos!G17," - ")</f>
        <v>4.4117647058823532E-2</v>
      </c>
      <c r="AO17" s="248">
        <f>IF(ISNUMBER((NºAsuntos!C17+NºAsuntos!E17)/NºAsuntos!G17),(NºAsuntos!C17+NºAsuntos!E17)/NºAsuntos!G17," - ")</f>
        <v>5.2352941176470589</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3</v>
      </c>
      <c r="F18" s="868">
        <f>SUBTOTAL(9,F14:F17)</f>
        <v>1367</v>
      </c>
      <c r="G18" s="869">
        <f>SUBTOTAL(9,G15:G17)</f>
        <v>1660</v>
      </c>
      <c r="H18" s="868">
        <f t="shared" ref="H18:O18" si="10">SUBTOTAL(9,H14:H17)</f>
        <v>0</v>
      </c>
      <c r="I18" s="870">
        <f t="shared" si="10"/>
        <v>0</v>
      </c>
      <c r="J18" s="870">
        <f t="shared" si="10"/>
        <v>0</v>
      </c>
      <c r="K18" s="870">
        <f t="shared" si="10"/>
        <v>0</v>
      </c>
      <c r="L18" s="870">
        <f t="shared" si="10"/>
        <v>5</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731</v>
      </c>
      <c r="X18" s="870">
        <f t="shared" si="11"/>
        <v>10</v>
      </c>
      <c r="Y18" s="871">
        <f t="shared" si="11"/>
        <v>741</v>
      </c>
      <c r="Z18" s="871">
        <f t="shared" si="11"/>
        <v>0</v>
      </c>
      <c r="AA18" s="871">
        <f t="shared" si="11"/>
        <v>1991</v>
      </c>
      <c r="AB18" s="871">
        <f t="shared" si="11"/>
        <v>77</v>
      </c>
      <c r="AC18" s="871">
        <f t="shared" si="11"/>
        <v>2068</v>
      </c>
      <c r="AD18" s="871">
        <f t="shared" si="11"/>
        <v>0</v>
      </c>
      <c r="AE18" s="875">
        <f t="shared" si="11"/>
        <v>0</v>
      </c>
      <c r="AF18" s="868">
        <f t="shared" si="11"/>
        <v>0</v>
      </c>
      <c r="AG18" s="876">
        <f t="shared" si="11"/>
        <v>0</v>
      </c>
      <c r="AH18" s="873">
        <f t="shared" si="11"/>
        <v>0</v>
      </c>
      <c r="AI18" s="868">
        <f t="shared" si="11"/>
        <v>67</v>
      </c>
      <c r="AJ18" s="870">
        <f t="shared" si="11"/>
        <v>0</v>
      </c>
      <c r="AK18" s="873">
        <f t="shared" si="11"/>
        <v>0</v>
      </c>
      <c r="AL18" s="877">
        <f>IF(ISNUMBER(NºAsuntos!G18/NºAsuntos!E18),NºAsuntos!G18/NºAsuntos!E18," - ")</f>
        <v>0.68832391713747643</v>
      </c>
      <c r="AM18" s="877">
        <f>IF(ISNUMBER(((NºAsuntos!I18/NºAsuntos!G18)*11)/factor_trimestre),((NºAsuntos!I18/NºAsuntos!G18)*11)/factor_trimestre," - ")</f>
        <v>8.170998632010944</v>
      </c>
      <c r="AN18" s="878">
        <f>IF(ISNUMBER('Resol  Asuntos'!D18/NºAsuntos!G18),'Resol  Asuntos'!D18/NºAsuntos!G18," - ")</f>
        <v>9.1655266757865936E-2</v>
      </c>
      <c r="AO18" s="879">
        <f>IF(ISNUMBER((NºAsuntos!C18+NºAsuntos!E18)/NºAsuntos!G18),(NºAsuntos!C18+NºAsuntos!E18)/NºAsuntos!G18," - ")</f>
        <v>3.7236662106703147</v>
      </c>
      <c r="AP18" s="880" t="str">
        <f t="shared" si="2"/>
        <v xml:space="preserve"> - </v>
      </c>
      <c r="AQ18" s="880">
        <f>IF(ISNUMBER((H18-W18+K18)/(F18)),(H18-W18+K18)/(F18)," - ")</f>
        <v>-0.53474762253108998</v>
      </c>
      <c r="AR18" s="881">
        <f>IF(ISNUMBER((Datos!P18-Datos!Q18)/(Datos!R18-Datos!P18+Datos!Q18)),(Datos!P18-Datos!Q18)/(Datos!R18-Datos!P18+Datos!Q18)," - ")</f>
        <v>-6.097560975609756E-2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6</v>
      </c>
      <c r="F19" s="823">
        <f t="shared" si="13"/>
        <v>1401</v>
      </c>
      <c r="G19" s="824">
        <f t="shared" si="13"/>
        <v>1694</v>
      </c>
      <c r="H19" s="823">
        <f t="shared" si="13"/>
        <v>0</v>
      </c>
      <c r="I19" s="825">
        <f t="shared" si="13"/>
        <v>0</v>
      </c>
      <c r="J19" s="825">
        <f t="shared" si="13"/>
        <v>0</v>
      </c>
      <c r="K19" s="884">
        <f t="shared" si="13"/>
        <v>0</v>
      </c>
      <c r="L19" s="825">
        <f t="shared" si="13"/>
        <v>236</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735</v>
      </c>
      <c r="X19" s="824">
        <f t="shared" si="14"/>
        <v>94</v>
      </c>
      <c r="Y19" s="831">
        <f t="shared" si="14"/>
        <v>829</v>
      </c>
      <c r="Z19" s="831">
        <f t="shared" si="14"/>
        <v>0</v>
      </c>
      <c r="AA19" s="831">
        <f t="shared" si="14"/>
        <v>2026</v>
      </c>
      <c r="AB19" s="831">
        <f t="shared" si="14"/>
        <v>3463</v>
      </c>
      <c r="AC19" s="831">
        <f t="shared" si="14"/>
        <v>2124</v>
      </c>
      <c r="AD19" s="831">
        <f t="shared" si="14"/>
        <v>0</v>
      </c>
      <c r="AE19" s="833">
        <f t="shared" si="14"/>
        <v>0</v>
      </c>
      <c r="AF19" s="834">
        <f t="shared" si="14"/>
        <v>0</v>
      </c>
      <c r="AG19" s="835">
        <f t="shared" si="14"/>
        <v>0</v>
      </c>
      <c r="AH19" s="833">
        <f t="shared" si="14"/>
        <v>0</v>
      </c>
      <c r="AI19" s="823">
        <f t="shared" si="14"/>
        <v>271</v>
      </c>
      <c r="AJ19" s="823">
        <f t="shared" si="14"/>
        <v>0</v>
      </c>
      <c r="AK19" s="833">
        <f t="shared" si="14"/>
        <v>0</v>
      </c>
      <c r="AL19" s="887">
        <f>IF(ISNUMBER(NºAsuntos!G19/NºAsuntos!E19),NºAsuntos!G19/NºAsuntos!E19," - ")</f>
        <v>0.84694932781799381</v>
      </c>
      <c r="AM19" s="888">
        <f>IF(ISNUMBER(((NºAsuntos!I19/NºAsuntos!G19)*11)/factor_trimestre),((NºAsuntos!I19/NºAsuntos!G19)*11)/factor_trimestre," - ")</f>
        <v>9.6282051282051295</v>
      </c>
      <c r="AN19" s="888">
        <f>IF(ISNUMBER('Resol  Asuntos'!D19/NºAsuntos!G19),'Resol  Asuntos'!D19/NºAsuntos!G19," - ")</f>
        <v>0.16544566544566544</v>
      </c>
      <c r="AO19" s="889">
        <f>IF(ISNUMBER((NºAsuntos!C19+NºAsuntos!E19)/NºAsuntos!G19),(NºAsuntos!C19+NºAsuntos!E19)/NºAsuntos!G19," - ")</f>
        <v>4.2094017094017095</v>
      </c>
      <c r="AP19" s="890" t="str">
        <f t="shared" si="2"/>
        <v xml:space="preserve"> - </v>
      </c>
      <c r="AQ19" s="891">
        <f>IF(OR(ISNUMBER(FIND("01",Criterios!A8,1)),ISNUMBER(FIND("02",Criterios!A8,1)),ISNUMBER(FIND("03",Criterios!A8,1)),ISNUMBER(FIND("04",Criterios!A8,1))),(I19-W19+K19)/(F19-K19),(H19-W19+K19)/(F19-K19))</f>
        <v>-0.52462526766595285</v>
      </c>
      <c r="AR19" s="892">
        <f>IF(ISNUMBER((Datos!P19-Datos!Q19)/(Datos!R19-Datos!P19+Datos!Q19)),(Datos!P19-Datos!Q19)/(Datos!R19-Datos!P19+Datos!Q19)," - ")</f>
        <v>4.2758205359831374E-2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677.6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1.5811388300841898</v>
      </c>
      <c r="F21" s="255">
        <f>IF(ISNUMBER(STDEV(F8:F18)),STDEV(F8:F18),"-")</f>
        <v>769.60790882977119</v>
      </c>
      <c r="G21" s="256">
        <f>IF(ISNUMBER(STDEV(G8:G18)),STDEV(G8:G18),"-")</f>
        <v>777.29357388312428</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369.59640149763362</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92.151324823176935</v>
      </c>
      <c r="AJ21" s="255">
        <f t="shared" si="18"/>
        <v>0</v>
      </c>
      <c r="AK21" s="257">
        <f t="shared" si="18"/>
        <v>0</v>
      </c>
      <c r="AL21" s="252">
        <f t="shared" si="18"/>
        <v>0.19038881081759051</v>
      </c>
      <c r="AM21" s="253">
        <f t="shared" si="18"/>
        <v>6.8777183596599576</v>
      </c>
      <c r="AN21" s="253">
        <f t="shared" si="18"/>
        <v>8.7763016923014303E-2</v>
      </c>
      <c r="AO21" s="254">
        <f t="shared" si="18"/>
        <v>2.2925727865533192</v>
      </c>
      <c r="AP21" s="294" t="str">
        <f t="shared" si="18"/>
        <v>-</v>
      </c>
      <c r="AQ21" s="295">
        <f t="shared" si="18"/>
        <v>0.29493463703434758</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lLqRu4CSdjQJxFRqvQGGIcqzkZGSdG+iH06RqdYeJXAx5aZy3exGUH2aq7Kd3kQ6aN9f5UU0DjGqdGowpB4nYw==" saltValue="HfPHSk+dkHzmrlqQGTRr7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CATALUÑA</v>
      </c>
      <c r="E2" s="266"/>
    </row>
    <row r="3" spans="2:20" ht="17.25" customHeight="1">
      <c r="C3" s="270"/>
      <c r="D3" s="265" t="str">
        <f>Criterios!A10 &amp;"  "&amp;Criterios!B10</f>
        <v>Provincias  TARRAGONA</v>
      </c>
      <c r="E3" s="266"/>
    </row>
    <row r="4" spans="2:20" ht="17.25" customHeight="1" thickBot="1">
      <c r="D4" s="265" t="str">
        <f>Criterios!A11 &amp;"  "&amp;Criterios!B11</f>
        <v>Resumenes por Partidos Judiciales  VALLS</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-0.22727272727272727</v>
      </c>
      <c r="E10" s="351">
        <f>IF(ISNUMBER((Datos!J10-Datos!T10)/Datos!T10),(Datos!J10-Datos!T10)/Datos!T10," - ")</f>
        <v>-0.44444444444444442</v>
      </c>
      <c r="F10" s="351">
        <f>IF(ISNUMBER((Datos!K10-Datos!U10)/Datos!U10),(Datos!K10-Datos!U10)/Datos!U10," - ")</f>
        <v>-0.6</v>
      </c>
      <c r="G10" s="352">
        <f>IF(ISNUMBER((Datos!L10-Datos!V10)/Datos!V10),(Datos!L10-Datos!V10)/Datos!V10," - ")</f>
        <v>-0.18604651162790697</v>
      </c>
      <c r="H10" s="233">
        <f>IF(ISNUMBER((Datos!M10-Datos!W10)/Datos!W10),(Datos!M10-Datos!W10)/Datos!W10," - ")</f>
        <v>-0.75</v>
      </c>
      <c r="I10" s="353">
        <f>IF(ISNUMBER((Tasas!C10-Datos!BE10)/Datos!BE10),(Tasas!C10-Datos!BE10)/Datos!BE10," - ")</f>
        <v>1.0348837209302326</v>
      </c>
      <c r="J10" s="352">
        <f>IF(ISNUMBER((Tasas!D10-Datos!BF10)/Datos!BF10),(Tasas!D10-Datos!BF10)/Datos!BF10," - ")</f>
        <v>-0.37500000000000006</v>
      </c>
      <c r="K10" s="354">
        <f>IF(ISNUMBER((Tasas!E10-Datos!BG10)/Datos!BG10),(Tasas!E10-Datos!BG10)/Datos!BG10," - ")</f>
        <v>0.839622641509434</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1.03</v>
      </c>
      <c r="I12" s="353">
        <f>IF(ISNUMBER((Tasas!C12-Datos!BE12)/Datos!BE12),(Tasas!C12-Datos!BE12)/Datos!BE12," - ")</f>
        <v>-0.16760576698796545</v>
      </c>
      <c r="J12" s="352">
        <f>IF(ISNUMBER((Tasas!D12-Datos!BF12)/Datos!BF12),(Tasas!D12-Datos!BF12)/Datos!BF12," - ")</f>
        <v>-0.43522048544923109</v>
      </c>
      <c r="K12" s="354">
        <f>IF(ISNUMBER((Tasas!E12-Datos!BG12)/Datos!BG12),(Tasas!E12-Datos!BG12)/Datos!BG12," - ")</f>
        <v>-0.13597327463463332</v>
      </c>
      <c r="M12" t="e">
        <f>IF(Monitorios="SI",Datos!CE12,0)</f>
        <v>#REF!</v>
      </c>
      <c r="N12" t="e">
        <f>IF(Monitorios="SI",Datos!CF12,0)</f>
        <v>#REF!</v>
      </c>
      <c r="O12" t="e">
        <f>IF(Monitorios="SI",Datos!CG12,0)</f>
        <v>#REF!</v>
      </c>
      <c r="P12" t="e">
        <f>IF(Monitorios="SI",Datos!CH12,0)</f>
        <v>#REF!</v>
      </c>
      <c r="Q12">
        <f>IF(J_V="SI",0,Datos!AG12)</f>
        <v>174</v>
      </c>
      <c r="R12">
        <f>IF(J_V="SI",0,Datos!AH12)</f>
        <v>74</v>
      </c>
      <c r="S12">
        <f>IF(J_V="SI",0,Datos!AI12)</f>
        <v>65</v>
      </c>
      <c r="T12">
        <f>IF(J_V="SI",0,Datos!AJ12)</f>
        <v>183</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0.96153846153846156</v>
      </c>
      <c r="I13" s="360">
        <f>IF(ISNUMBER((Tasas!C13-Datos!BE13)/Datos!BE13),(Tasas!C13-Datos!BE13)/Datos!BE13," - ")</f>
        <v>-0.16230414344328767</v>
      </c>
      <c r="J13" s="358">
        <f>IF(ISNUMBER((Tasas!D13-Datos!BF13)/Datos!BF13),(Tasas!D13-Datos!BF13)/Datos!BF13," - ")</f>
        <v>-0.43498595155955466</v>
      </c>
      <c r="K13" s="361">
        <f>IF(ISNUMBER((Tasas!E13-Datos!BG13)/Datos!BG13),(Tasas!E13-Datos!BG13)/Datos!BG13," - ")</f>
        <v>-0.13167237083948036</v>
      </c>
      <c r="M13" t="e">
        <f>IF(Monitorios="SI",Datos!CE13,0)</f>
        <v>#REF!</v>
      </c>
      <c r="N13" t="e">
        <f>IF(Monitorios="SI",Datos!CF13,0)</f>
        <v>#REF!</v>
      </c>
      <c r="O13" t="e">
        <f>IF(Monitorios="SI",Datos!CG13,0)</f>
        <v>#REF!</v>
      </c>
      <c r="P13" t="e">
        <f>IF(Monitorios="SI",Datos!CH13,0)</f>
        <v>#REF!</v>
      </c>
      <c r="Q13">
        <f>IF(J_V="SI",0,Datos!AG13)</f>
        <v>174</v>
      </c>
      <c r="R13">
        <f>IF(J_V="SI",0,Datos!AH13)</f>
        <v>74</v>
      </c>
      <c r="S13">
        <f>IF(J_V="SI",0,Datos!AI13)</f>
        <v>65</v>
      </c>
      <c r="T13">
        <f>IF(J_V="SI",0,Datos!AJ13)</f>
        <v>183</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0.12510288065843622</v>
      </c>
      <c r="E16" s="351">
        <f>IF(ISNUMBER(
   IF(D_I="SI",(Datos!J16-Datos!T16)/Datos!T16,(Datos!J16+Datos!AD16-(Datos!T16+Datos!AL16))/(Datos!T16+Datos!AL16))
     ),IF(D_I="SI",(Datos!J16-Datos!T16)/Datos!T16,(Datos!J16+Datos!AD16-(Datos!T16+Datos!AL16))/(Datos!T16+Datos!AL16))," - ")</f>
        <v>-2.7263875365141188E-2</v>
      </c>
      <c r="F16" s="351">
        <f>IF(ISNUMBER(
   IF(D_I="SI",(Datos!K16-Datos!U16)/Datos!U16,(Datos!K16+Datos!AE16-(Datos!U16+Datos!AM16))/(Datos!U16+Datos!AM16))
     ),IF(D_I="SI",(Datos!K16-Datos!U16)/Datos!U16,(Datos!K16+Datos!AE16-(Datos!U16+Datos!AM16))/(Datos!U16+Datos!AM16))," - ")</f>
        <v>-0.17945544554455445</v>
      </c>
      <c r="G16" s="352">
        <f>IF(ISNUMBER(
   IF(D_I="SI",(Datos!L16-Datos!V16)/Datos!V16,(Datos!L16+Datos!AF16-(Datos!V16+Datos!AN16))/(Datos!V16+Datos!AN16))
     ),IF(D_I="SI",(Datos!L16-Datos!V16)/Datos!V16,(Datos!L16+Datos!AF16-(Datos!V16+Datos!AN16))/(Datos!V16+Datos!AN16))," - ")</f>
        <v>0.1867595818815331</v>
      </c>
      <c r="H16" s="233">
        <f>IF(ISNUMBER((Datos!M16-Datos!W16)/Datos!W16),(Datos!M16-Datos!W16)/Datos!W16," - ")</f>
        <v>-0.13513513513513514</v>
      </c>
      <c r="I16" s="353">
        <f>IF(ISNUMBER((Tasas!C16-Datos!BE16)/Datos!BE16),(Tasas!C16-Datos!BE16)/Datos!BE16," - ")</f>
        <v>0.44630730340916874</v>
      </c>
      <c r="J16" s="352">
        <f>IF(ISNUMBER((Tasas!D16-Datos!BF16)/Datos!BF16),(Tasas!D16-Datos!BF16)/Datos!BF16," - ")</f>
        <v>5.4013289307407022E-2</v>
      </c>
      <c r="K16" s="354">
        <f>IF(ISNUMBER((Tasas!E16-Datos!BG16)/Datos!BG16),(Tasas!E16-Datos!BG16)/Datos!BG16," - ")</f>
        <v>0.28610659250319226</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0.22594142259414227</v>
      </c>
      <c r="E17" s="351">
        <f>IF(ISNUMBER(
   IF(D_I="SI",(Datos!J17-Datos!T17)/Datos!T17,(Datos!J17+Datos!AD17-(Datos!T17+Datos!AL17))/(Datos!T17+Datos!AL17))
     ),IF(D_I="SI",(Datos!J17-Datos!T17)/Datos!T17,(Datos!J17+Datos!AD17-(Datos!T17+Datos!AL17))/(Datos!T17+Datos!AL17))," - ")</f>
        <v>-3.0769230769230771E-2</v>
      </c>
      <c r="F17" s="351">
        <f>IF(ISNUMBER(
   IF(D_I="SI",(Datos!K17-Datos!U17)/Datos!U17,(Datos!K17+Datos!AE17-(Datos!U17+Datos!AM17))/(Datos!U17+Datos!AM17))
     ),IF(D_I="SI",(Datos!K17-Datos!U17)/Datos!U17,(Datos!K17+Datos!AE17-(Datos!U17+Datos!AM17))/(Datos!U17+Datos!AM17))," - ")</f>
        <v>0.28301886792452829</v>
      </c>
      <c r="G17" s="352">
        <f>IF(ISNUMBER(
   IF(D_I="SI",(Datos!L17-Datos!V17)/Datos!V17,(Datos!L17+Datos!AF17-(Datos!V17+Datos!AN17))/(Datos!V17+Datos!AN17))
     ),IF(D_I="SI",(Datos!L17-Datos!V17)/Datos!V17,(Datos!L17+Datos!AF17-(Datos!V17+Datos!AN17))/(Datos!V17+Datos!AN17))," - ")</f>
        <v>0.14741035856573706</v>
      </c>
      <c r="H17" s="233">
        <f>IF(ISNUMBER((Datos!M17-Datos!W17)/Datos!W17),(Datos!M17-Datos!W17)/Datos!W17," - ")</f>
        <v>0</v>
      </c>
      <c r="I17" s="353">
        <f>IF(ISNUMBER((Tasas!C17-Datos!BE17)/Datos!BE17),(Tasas!C17-Datos!BE17)/Datos!BE17," - ")</f>
        <v>-0.10569486758846956</v>
      </c>
      <c r="J17" s="352">
        <f>IF(ISNUMBER((Tasas!D17-Datos!BF17)/Datos!BF17),(Tasas!D17-Datos!BF17)/Datos!BF17," - ")</f>
        <v>-0.22058823529411761</v>
      </c>
      <c r="K17" s="354">
        <f>IF(ISNUMBER((Tasas!E17-Datos!BG17)/Datos!BG17),(Tasas!E17-Datos!BG17)/Datos!BG17," - ")</f>
        <v>-8.7267801857585064E-2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0.14167812929848694</v>
      </c>
      <c r="E18" s="357">
        <f>IF(ISNUMBER(
   IF(D_I="SI",(Datos!J18-Datos!T18)/Datos!T18,(Datos!J18+Datos!AD18-(Datos!T18+Datos!AL18))/(Datos!T18+Datos!AL18))
     ),IF(D_I="SI",(Datos!J18-Datos!T18)/Datos!T18,(Datos!J18+Datos!AD18-(Datos!T18+Datos!AL18))/(Datos!T18+Datos!AL18))," - ")</f>
        <v>-2.7472527472527472E-2</v>
      </c>
      <c r="F18" s="357">
        <f>IF(ISNUMBER(
   IF(D_I="SI",(Datos!K18-Datos!U18)/Datos!U18,(Datos!K18+Datos!AE18-(Datos!U18+Datos!AM18))/(Datos!U18+Datos!AM18))
     ),IF(D_I="SI",(Datos!K18-Datos!U18)/Datos!U18,(Datos!K18+Datos!AE18-(Datos!U18+Datos!AM18))/(Datos!U18+Datos!AM18))," - ")</f>
        <v>-0.15098722415795587</v>
      </c>
      <c r="G18" s="358">
        <f>IF(ISNUMBER(
   IF(D_I="SI",(Datos!L18-Datos!V18)/Datos!V18,(Datos!L18+Datos!AF18-(Datos!V18+Datos!AN18))/(Datos!V18+Datos!AN18))
     ),IF(D_I="SI",(Datos!L18-Datos!V18)/Datos!V18,(Datos!L18+Datos!AF18-(Datos!V18+Datos!AN18))/(Datos!V18+Datos!AN18))," - ")</f>
        <v>0.18090154211150652</v>
      </c>
      <c r="H18" s="359">
        <f>IF(ISNUMBER((Datos!M18-Datos!W18)/Datos!W18),(Datos!M18-Datos!W18)/Datos!W18," - ")</f>
        <v>-0.12987012987012986</v>
      </c>
      <c r="I18" s="360">
        <f>IF(ISNUMBER((Tasas!C18-Datos!BE18)/Datos!BE18),(Tasas!C18-Datos!BE18)/Datos!BE18," - ")</f>
        <v>0.3909113922818156</v>
      </c>
      <c r="J18" s="358">
        <f>IF(ISNUMBER((Tasas!D18-Datos!BF18)/Datos!BF18),(Tasas!D18-Datos!BF18)/Datos!BF18," - ")</f>
        <v>2.487252829250091E-2</v>
      </c>
      <c r="K18" s="361">
        <f>IF(ISNUMBER((Tasas!E18-Datos!BG18)/Datos!BG18),(Tasas!E18-Datos!BG18)/Datos!BG18," - ")</f>
        <v>0.25926025427617472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0.27794951056156619</v>
      </c>
      <c r="E19" s="366">
        <f>IF(ISNUMBER(
   IF(J_V="SI",(Datos!J19-Datos!T19)/Datos!T19,(Datos!J19+Datos!Z19-(Datos!T19+Datos!AH19))/(Datos!T19+Datos!AH19))
     ),IF(J_V="SI",(Datos!J19-Datos!T19)/Datos!T19,(Datos!J19+Datos!Z19-(Datos!T19+Datos!AH19))/(Datos!T19+Datos!AH19))," - ")</f>
        <v>-1.5776081424936386E-2</v>
      </c>
      <c r="F19" s="366">
        <f>IF(ISNUMBER(
   IF(J_V="SI",(Datos!K19-Datos!U19)/Datos!U19,(Datos!K19+Datos!AA19-(Datos!U19+Datos!AI19))/(Datos!U19+Datos!AI19))
     ),IF(J_V="SI",(Datos!K19-Datos!U19)/Datos!U19,(Datos!K19+Datos!AA19-(Datos!U19+Datos!AI19))/(Datos!U19+Datos!AI19))," - ")</f>
        <v>0.10377358490566038</v>
      </c>
      <c r="G19" s="367">
        <f>IF(ISNUMBER(
   IF(J_V="SI",(Datos!L19-Datos!V19)/Datos!V19,(Datos!L19+Datos!AB19-(Datos!V19+Datos!AJ19))/(Datos!V19+Datos!AJ19))
     ),IF(J_V="SI",(Datos!L19-Datos!V19)/Datos!V19,(Datos!L19+Datos!AB19-(Datos!V19+Datos!AJ19))/(Datos!V19+Datos!AJ19))," - ")</f>
        <v>0.20462878093492209</v>
      </c>
      <c r="H19" s="368">
        <f>IF(ISNUMBER((Datos!M19-Datos!W19)/Datos!W19),(Datos!M19-Datos!W19)/Datos!W19," - ")</f>
        <v>0.49723756906077349</v>
      </c>
      <c r="I19" s="365">
        <f>IF(ISNUMBER((Tasas!C19-Datos!BE19)/Datos!BE19),(Tasas!C19-Datos!BE19)/Datos!BE19," - ")</f>
        <v>9.1373083582066181E-2</v>
      </c>
      <c r="J19" s="366">
        <f>IF(ISNUMBER((Tasas!D19-Datos!BF19)/Datos!BF19),(Tasas!D19-Datos!BF19)/Datos!BF19," - ")</f>
        <v>-0.24454963839579222</v>
      </c>
      <c r="K19" s="367">
        <f>IF(ISNUMBER((Tasas!E19-Datos!BG19)/Datos!BG19),(Tasas!E19-Datos!BG19)/Datos!BG19," - ")</f>
        <v>6.8368759492412681E-2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0.20067382786362287</v>
      </c>
      <c r="E21" s="281">
        <f t="shared" si="1"/>
        <v>0.20797748044652931</v>
      </c>
      <c r="F21" s="281">
        <f t="shared" si="1"/>
        <v>0.36069917457563672</v>
      </c>
      <c r="G21" s="282">
        <f t="shared" si="1"/>
        <v>0.17970649199019256</v>
      </c>
      <c r="H21" s="288">
        <f t="shared" si="1"/>
        <v>0.69629703255765829</v>
      </c>
      <c r="I21" s="280">
        <f t="shared" si="1"/>
        <v>0.478470702076569</v>
      </c>
      <c r="J21" s="281">
        <f t="shared" si="1"/>
        <v>0.22399279814414266</v>
      </c>
      <c r="K21" s="282">
        <f t="shared" si="1"/>
        <v>0.37964148369986667</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7S/smui/YeYIdiz1QcELqDdGMEmv6L1Zj98KsxbL1lhLSb/Oa1AcaWEc0YokaoKBjPsr+R/4Br7Qla1VHVG8pA==" saltValue="rBTGq9a+5EBxdYT5fiKGJ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2024-03-07T15:07:30Z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